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ackupFile="1" codeName="ThisWorkbook" defaultThemeVersion="124226"/>
  <bookViews>
    <workbookView xWindow="-195" yWindow="120" windowWidth="28410" windowHeight="12435" tabRatio="757" activeTab="4"/>
  </bookViews>
  <sheets>
    <sheet name="INDEX" sheetId="24" r:id="rId1"/>
    <sheet name="General Calc's" sheetId="41" r:id="rId2"/>
    <sheet name="Wine &amp; Cider Calc" sheetId="32" r:id="rId3"/>
    <sheet name="Jame's Acid Calc" sheetId="40" r:id="rId4"/>
    <sheet name="Cocktail Calc" sheetId="33" r:id="rId5"/>
    <sheet name="Jam Calc" sheetId="36" r:id="rId6"/>
  </sheets>
  <definedNames>
    <definedName name="_Toc275263954" localSheetId="2">'Wine &amp; Cider Calc'!$BA$88</definedName>
    <definedName name="_xlnm.Print_Area" localSheetId="4">'Cocktail Calc'!$A$1:$U$88</definedName>
    <definedName name="_xlnm.Print_Area" localSheetId="1">'General Calc''s'!$A$1:$Q$191</definedName>
    <definedName name="_xlnm.Print_Area" localSheetId="0">INDEX!$A$1:$F$49</definedName>
    <definedName name="_xlnm.Print_Area" localSheetId="5">'Jam Calc'!$A$1:$Q$97</definedName>
    <definedName name="_xlnm.Print_Area" localSheetId="3">'Jame''s Acid Calc'!$A$1:$J$75</definedName>
    <definedName name="_xlnm.Print_Area" localSheetId="2">'Wine &amp; Cider Calc'!$A$1:$X$290</definedName>
  </definedNames>
  <calcPr calcId="124519"/>
  <extLst>
    <ext uri="smNativeData">
      <pm:revision xmlns:pm="pm" day="1569417289" val="704"/>
    </ext>
  </extLst>
</workbook>
</file>

<file path=xl/calcChain.xml><?xml version="1.0" encoding="utf-8"?>
<calcChain xmlns="http://schemas.openxmlformats.org/spreadsheetml/2006/main">
  <c r="L15" i="36"/>
  <c r="H129" i="41"/>
  <c r="Q147" l="1"/>
  <c r="P147"/>
  <c r="Q145"/>
  <c r="P145"/>
  <c r="Q143"/>
  <c r="P143"/>
  <c r="Q141"/>
  <c r="P141"/>
  <c r="Q139"/>
  <c r="P139"/>
  <c r="Q137"/>
  <c r="P137"/>
  <c r="Q135"/>
  <c r="P135"/>
  <c r="Q133"/>
  <c r="P133"/>
  <c r="Q131"/>
  <c r="P131"/>
  <c r="Q129"/>
  <c r="P129"/>
  <c r="Q127"/>
  <c r="P127"/>
  <c r="Q125"/>
  <c r="P125"/>
  <c r="Q123"/>
  <c r="P123"/>
  <c r="H130" l="1"/>
  <c r="H128"/>
  <c r="K173"/>
  <c r="M173" s="1"/>
  <c r="K172"/>
  <c r="M172" s="1"/>
  <c r="G106" s="1"/>
  <c r="K170"/>
  <c r="L170" s="1"/>
  <c r="D53" s="1"/>
  <c r="M170" s="1"/>
  <c r="K166"/>
  <c r="L166" s="1"/>
  <c r="M169" s="1"/>
  <c r="M166" s="1"/>
  <c r="N53" s="1"/>
  <c r="O53" s="1"/>
  <c r="P53" s="1"/>
  <c r="C158"/>
  <c r="E158" s="1"/>
  <c r="F158" s="1"/>
  <c r="N157"/>
  <c r="G157"/>
  <c r="F157"/>
  <c r="E157"/>
  <c r="E155"/>
  <c r="M155" s="1"/>
  <c r="O147"/>
  <c r="I143"/>
  <c r="I144" s="1"/>
  <c r="O146"/>
  <c r="O145"/>
  <c r="O144"/>
  <c r="O143"/>
  <c r="O142"/>
  <c r="D138"/>
  <c r="O141"/>
  <c r="O140"/>
  <c r="O139"/>
  <c r="O138"/>
  <c r="O137"/>
  <c r="O136"/>
  <c r="O135"/>
  <c r="O134"/>
  <c r="O133"/>
  <c r="O132"/>
  <c r="O131"/>
  <c r="O130"/>
  <c r="F129"/>
  <c r="F130" s="1"/>
  <c r="G130" s="1"/>
  <c r="O129"/>
  <c r="G128"/>
  <c r="O128"/>
  <c r="O127"/>
  <c r="Q108"/>
  <c r="F94" s="1"/>
  <c r="K111"/>
  <c r="I111"/>
  <c r="C111"/>
  <c r="O110"/>
  <c r="N110"/>
  <c r="K110"/>
  <c r="I110"/>
  <c r="P107"/>
  <c r="O107"/>
  <c r="F102"/>
  <c r="E101"/>
  <c r="F99"/>
  <c r="M96"/>
  <c r="K97" s="1"/>
  <c r="K96"/>
  <c r="K98" s="1"/>
  <c r="E95"/>
  <c r="G94" s="1"/>
  <c r="H95" s="1"/>
  <c r="M89"/>
  <c r="J84"/>
  <c r="K84" s="1"/>
  <c r="C84"/>
  <c r="D84" s="1"/>
  <c r="J83"/>
  <c r="M83" s="1"/>
  <c r="C83"/>
  <c r="F83" s="1"/>
  <c r="M82"/>
  <c r="K82"/>
  <c r="F82"/>
  <c r="D82"/>
  <c r="M77"/>
  <c r="L77"/>
  <c r="F77"/>
  <c r="E77"/>
  <c r="E69"/>
  <c r="M65"/>
  <c r="M68" s="1"/>
  <c r="J65"/>
  <c r="J68" s="1"/>
  <c r="M63"/>
  <c r="J63"/>
  <c r="E62"/>
  <c r="E53"/>
  <c r="F53" s="1"/>
  <c r="O50"/>
  <c r="M50"/>
  <c r="H50"/>
  <c r="K168" s="1"/>
  <c r="C50"/>
  <c r="K167" s="1"/>
  <c r="E45"/>
  <c r="C45"/>
  <c r="I41"/>
  <c r="K37"/>
  <c r="I37" s="1"/>
  <c r="O33"/>
  <c r="M33"/>
  <c r="O30"/>
  <c r="M30"/>
  <c r="J30"/>
  <c r="H31" s="1"/>
  <c r="H30"/>
  <c r="H32" s="1"/>
  <c r="E30"/>
  <c r="C30"/>
  <c r="O27"/>
  <c r="M27"/>
  <c r="J27"/>
  <c r="H27"/>
  <c r="E27"/>
  <c r="C27"/>
  <c r="K23"/>
  <c r="F23"/>
  <c r="O18"/>
  <c r="I18"/>
  <c r="D18"/>
  <c r="E18" s="1"/>
  <c r="O15"/>
  <c r="P15" s="1"/>
  <c r="J15"/>
  <c r="H15"/>
  <c r="E15"/>
  <c r="C15"/>
  <c r="J12"/>
  <c r="I12" s="1"/>
  <c r="K12" s="1"/>
  <c r="E12"/>
  <c r="C12"/>
  <c r="O8"/>
  <c r="M8"/>
  <c r="J8"/>
  <c r="H8" s="1"/>
  <c r="E8"/>
  <c r="C8" s="1"/>
  <c r="O5"/>
  <c r="M5"/>
  <c r="J5"/>
  <c r="H5" s="1"/>
  <c r="E5"/>
  <c r="C5"/>
  <c r="A4" i="33"/>
  <c r="P206" i="32"/>
  <c r="P204"/>
  <c r="P202"/>
  <c r="P200"/>
  <c r="P198"/>
  <c r="P196"/>
  <c r="P194"/>
  <c r="P192"/>
  <c r="P190"/>
  <c r="P188"/>
  <c r="P186"/>
  <c r="P184"/>
  <c r="P182"/>
  <c r="Q206"/>
  <c r="Q204"/>
  <c r="Q202"/>
  <c r="Q200"/>
  <c r="Q198"/>
  <c r="Q196"/>
  <c r="Q194"/>
  <c r="Q192"/>
  <c r="Q190"/>
  <c r="Q188"/>
  <c r="Q186"/>
  <c r="Q184"/>
  <c r="Q182"/>
  <c r="F100" i="41" l="1"/>
  <c r="G129"/>
  <c r="M69"/>
  <c r="J69"/>
  <c r="L167"/>
  <c r="E50" s="1"/>
  <c r="M167" s="1"/>
  <c r="D111"/>
  <c r="L177"/>
  <c r="L168"/>
  <c r="J50" s="1"/>
  <c r="M168" s="1"/>
  <c r="M158"/>
  <c r="I145"/>
  <c r="H96"/>
  <c r="H97"/>
  <c r="M156"/>
  <c r="AN117" i="32"/>
  <c r="AN118"/>
  <c r="AN119"/>
  <c r="AN120"/>
  <c r="AN121"/>
  <c r="E63" i="36"/>
  <c r="F96" i="41" l="1"/>
  <c r="F97"/>
  <c r="N90" i="32"/>
  <c r="N92" s="1"/>
  <c r="L90"/>
  <c r="L92" s="1"/>
  <c r="W173"/>
  <c r="W174"/>
  <c r="W175"/>
  <c r="W176"/>
  <c r="W177"/>
  <c r="W169"/>
  <c r="W170"/>
  <c r="W171"/>
  <c r="W172"/>
  <c r="D125"/>
  <c r="D126"/>
  <c r="AD126"/>
  <c r="AF126"/>
  <c r="AG126"/>
  <c r="AH126"/>
  <c r="AI126"/>
  <c r="AJ126"/>
  <c r="AK126"/>
  <c r="AL126"/>
  <c r="AC126"/>
  <c r="G125"/>
  <c r="G52"/>
  <c r="C25" i="40" l="1"/>
  <c r="C17"/>
  <c r="C18" s="1"/>
  <c r="C21" s="1"/>
  <c r="M14" i="32"/>
  <c r="C26" i="40" l="1"/>
  <c r="C31" s="1"/>
  <c r="C27"/>
  <c r="C23"/>
  <c r="C24"/>
  <c r="C20"/>
  <c r="C19"/>
  <c r="C22" s="1"/>
  <c r="C30" l="1"/>
  <c r="C32"/>
  <c r="C35"/>
  <c r="C36"/>
  <c r="C37"/>
  <c r="I20" i="36" l="1"/>
  <c r="J20"/>
  <c r="I21"/>
  <c r="J21"/>
  <c r="I22"/>
  <c r="J22"/>
  <c r="I23"/>
  <c r="J23"/>
  <c r="I24"/>
  <c r="J24"/>
  <c r="I25"/>
  <c r="J25"/>
  <c r="I26"/>
  <c r="J26"/>
  <c r="I27"/>
  <c r="J27"/>
  <c r="I28"/>
  <c r="J28"/>
  <c r="I29"/>
  <c r="J29"/>
  <c r="I30"/>
  <c r="J30"/>
  <c r="I31"/>
  <c r="J31"/>
  <c r="I32"/>
  <c r="J32"/>
  <c r="I33"/>
  <c r="J33"/>
  <c r="I34"/>
  <c r="J34"/>
  <c r="I35"/>
  <c r="J35"/>
  <c r="I36"/>
  <c r="J36"/>
  <c r="I37"/>
  <c r="J37"/>
  <c r="I38"/>
  <c r="J38"/>
  <c r="I39"/>
  <c r="J39"/>
  <c r="I40"/>
  <c r="J40"/>
  <c r="I41"/>
  <c r="J41"/>
  <c r="I42"/>
  <c r="J42"/>
  <c r="I43"/>
  <c r="J43"/>
  <c r="I44"/>
  <c r="J44"/>
  <c r="I45"/>
  <c r="J45"/>
  <c r="I46"/>
  <c r="J46"/>
  <c r="I47"/>
  <c r="J47"/>
  <c r="I48"/>
  <c r="J48"/>
  <c r="I49"/>
  <c r="J49"/>
  <c r="I50"/>
  <c r="J50"/>
  <c r="I51"/>
  <c r="J51"/>
  <c r="I52"/>
  <c r="J52"/>
  <c r="I53"/>
  <c r="J53"/>
  <c r="I54"/>
  <c r="J54"/>
  <c r="I55"/>
  <c r="J55"/>
  <c r="I56"/>
  <c r="J56"/>
  <c r="I57"/>
  <c r="J57"/>
  <c r="I58"/>
  <c r="J58"/>
  <c r="I59"/>
  <c r="J59"/>
  <c r="I60"/>
  <c r="J60"/>
  <c r="I61"/>
  <c r="J61"/>
  <c r="I62"/>
  <c r="J62"/>
  <c r="I63"/>
  <c r="J63"/>
  <c r="I64"/>
  <c r="J64"/>
  <c r="I65"/>
  <c r="J65"/>
  <c r="I66"/>
  <c r="J66"/>
  <c r="I67"/>
  <c r="J67"/>
  <c r="I68"/>
  <c r="J68"/>
  <c r="I69"/>
  <c r="J69"/>
  <c r="I70"/>
  <c r="J70"/>
  <c r="I71"/>
  <c r="J71"/>
  <c r="I72"/>
  <c r="J72"/>
  <c r="I73"/>
  <c r="J73"/>
  <c r="I74"/>
  <c r="J74"/>
  <c r="I75"/>
  <c r="J75"/>
  <c r="I76"/>
  <c r="J76"/>
  <c r="I77"/>
  <c r="J77"/>
  <c r="I78"/>
  <c r="J78"/>
  <c r="I79"/>
  <c r="J79"/>
  <c r="I80"/>
  <c r="J80"/>
  <c r="I81"/>
  <c r="J81"/>
  <c r="E81"/>
  <c r="K81" s="1"/>
  <c r="E80"/>
  <c r="M80" s="1"/>
  <c r="E79"/>
  <c r="K79" s="1"/>
  <c r="E78"/>
  <c r="M78" s="1"/>
  <c r="E77"/>
  <c r="K77" s="1"/>
  <c r="E76"/>
  <c r="M76" s="1"/>
  <c r="E75"/>
  <c r="K75" s="1"/>
  <c r="E74"/>
  <c r="M74" s="1"/>
  <c r="E73"/>
  <c r="K73" s="1"/>
  <c r="E72"/>
  <c r="M72" s="1"/>
  <c r="E71"/>
  <c r="K71" s="1"/>
  <c r="E70"/>
  <c r="M70" s="1"/>
  <c r="E69"/>
  <c r="K69" s="1"/>
  <c r="E68"/>
  <c r="M68" s="1"/>
  <c r="E67"/>
  <c r="K67" s="1"/>
  <c r="E66"/>
  <c r="M66" s="1"/>
  <c r="E65"/>
  <c r="K65" s="1"/>
  <c r="E64"/>
  <c r="M64" s="1"/>
  <c r="K63"/>
  <c r="E62"/>
  <c r="M62" s="1"/>
  <c r="E61"/>
  <c r="K61" s="1"/>
  <c r="E60"/>
  <c r="M60" s="1"/>
  <c r="E59"/>
  <c r="K59" s="1"/>
  <c r="E58"/>
  <c r="M58" s="1"/>
  <c r="E57"/>
  <c r="K57" s="1"/>
  <c r="E56"/>
  <c r="M56" s="1"/>
  <c r="E55"/>
  <c r="K55" s="1"/>
  <c r="E54"/>
  <c r="M54" s="1"/>
  <c r="E53"/>
  <c r="K53" s="1"/>
  <c r="E52"/>
  <c r="M52" s="1"/>
  <c r="E51"/>
  <c r="K51" s="1"/>
  <c r="E50"/>
  <c r="M50" s="1"/>
  <c r="E49"/>
  <c r="K49" s="1"/>
  <c r="E48"/>
  <c r="M48" s="1"/>
  <c r="E47"/>
  <c r="K47" s="1"/>
  <c r="E46"/>
  <c r="M46" s="1"/>
  <c r="E45"/>
  <c r="K45" s="1"/>
  <c r="E44"/>
  <c r="M44" s="1"/>
  <c r="E43"/>
  <c r="K43" s="1"/>
  <c r="E42"/>
  <c r="M42" s="1"/>
  <c r="E41"/>
  <c r="K41" s="1"/>
  <c r="E40"/>
  <c r="M40" s="1"/>
  <c r="E39"/>
  <c r="K39" s="1"/>
  <c r="E38"/>
  <c r="M38" s="1"/>
  <c r="E37"/>
  <c r="K37" s="1"/>
  <c r="E36"/>
  <c r="M36" s="1"/>
  <c r="E35"/>
  <c r="K35" s="1"/>
  <c r="E34"/>
  <c r="M34" s="1"/>
  <c r="E33"/>
  <c r="K33" s="1"/>
  <c r="E32"/>
  <c r="M32" s="1"/>
  <c r="E31"/>
  <c r="K31" s="1"/>
  <c r="E30"/>
  <c r="M30" s="1"/>
  <c r="E29"/>
  <c r="K29" s="1"/>
  <c r="E28"/>
  <c r="M28" s="1"/>
  <c r="E27"/>
  <c r="K27" s="1"/>
  <c r="E26"/>
  <c r="M26" s="1"/>
  <c r="E25"/>
  <c r="K25" s="1"/>
  <c r="E24"/>
  <c r="M24" s="1"/>
  <c r="E23"/>
  <c r="K23" s="1"/>
  <c r="E22"/>
  <c r="M22" s="1"/>
  <c r="E21"/>
  <c r="K21" s="1"/>
  <c r="E20"/>
  <c r="M20" s="1"/>
  <c r="D11"/>
  <c r="D10"/>
  <c r="D9"/>
  <c r="D8"/>
  <c r="R83" i="33"/>
  <c r="O63"/>
  <c r="P63"/>
  <c r="G63"/>
  <c r="H63"/>
  <c r="I63"/>
  <c r="C84"/>
  <c r="L84"/>
  <c r="AO50" i="32"/>
  <c r="C13" i="36" l="1"/>
  <c r="K58"/>
  <c r="C14"/>
  <c r="K74"/>
  <c r="K42"/>
  <c r="K26"/>
  <c r="K78"/>
  <c r="K62"/>
  <c r="K46"/>
  <c r="K30"/>
  <c r="K66"/>
  <c r="K50"/>
  <c r="K34"/>
  <c r="K70"/>
  <c r="K54"/>
  <c r="K38"/>
  <c r="K22"/>
  <c r="K80"/>
  <c r="K76"/>
  <c r="K72"/>
  <c r="K68"/>
  <c r="K64"/>
  <c r="K60"/>
  <c r="K56"/>
  <c r="K52"/>
  <c r="K48"/>
  <c r="K44"/>
  <c r="K40"/>
  <c r="K36"/>
  <c r="K32"/>
  <c r="K28"/>
  <c r="K24"/>
  <c r="K20"/>
  <c r="M21"/>
  <c r="M25"/>
  <c r="M29"/>
  <c r="M33"/>
  <c r="M37"/>
  <c r="M41"/>
  <c r="M45"/>
  <c r="M49"/>
  <c r="M53"/>
  <c r="M57"/>
  <c r="M61"/>
  <c r="M65"/>
  <c r="M69"/>
  <c r="M73"/>
  <c r="M77"/>
  <c r="M81"/>
  <c r="M43"/>
  <c r="M35"/>
  <c r="M47"/>
  <c r="M51"/>
  <c r="M55"/>
  <c r="M59"/>
  <c r="M63"/>
  <c r="M67"/>
  <c r="M71"/>
  <c r="M75"/>
  <c r="M79"/>
  <c r="M23"/>
  <c r="M27"/>
  <c r="M31"/>
  <c r="M39"/>
  <c r="C6" l="1"/>
  <c r="C5"/>
  <c r="C15" l="1"/>
  <c r="G14" s="1"/>
  <c r="C16" l="1"/>
  <c r="G13"/>
  <c r="D14"/>
  <c r="D13"/>
  <c r="W43" i="32" l="1"/>
  <c r="E128"/>
  <c r="E129"/>
  <c r="AN122"/>
  <c r="AN123"/>
  <c r="AN124"/>
  <c r="AN125"/>
  <c r="AN126"/>
  <c r="AN127"/>
  <c r="AN128"/>
  <c r="AN129"/>
  <c r="AN130"/>
  <c r="AN131"/>
  <c r="Q82" i="33" l="1"/>
  <c r="I83"/>
  <c r="H83"/>
  <c r="G83"/>
  <c r="P82"/>
  <c r="O82"/>
  <c r="I82"/>
  <c r="H82"/>
  <c r="G82"/>
  <c r="Q81"/>
  <c r="P81"/>
  <c r="O81"/>
  <c r="I81"/>
  <c r="H81"/>
  <c r="G81"/>
  <c r="Q80"/>
  <c r="P80"/>
  <c r="O80"/>
  <c r="I80"/>
  <c r="H80"/>
  <c r="G80"/>
  <c r="Q79"/>
  <c r="P79"/>
  <c r="O79"/>
  <c r="I79"/>
  <c r="H79"/>
  <c r="G79"/>
  <c r="Q78"/>
  <c r="P78"/>
  <c r="O78"/>
  <c r="I78"/>
  <c r="H78"/>
  <c r="G78"/>
  <c r="Q77"/>
  <c r="P77"/>
  <c r="O77"/>
  <c r="I77"/>
  <c r="H77"/>
  <c r="G77"/>
  <c r="Q76"/>
  <c r="P76"/>
  <c r="O76"/>
  <c r="I76"/>
  <c r="H76"/>
  <c r="G76"/>
  <c r="I75"/>
  <c r="H75"/>
  <c r="G75"/>
  <c r="P74"/>
  <c r="O74"/>
  <c r="I74"/>
  <c r="H74"/>
  <c r="G74"/>
  <c r="P73"/>
  <c r="O73"/>
  <c r="I73"/>
  <c r="H73"/>
  <c r="G73"/>
  <c r="P72"/>
  <c r="O72"/>
  <c r="I72"/>
  <c r="H72"/>
  <c r="G72"/>
  <c r="P71"/>
  <c r="O71"/>
  <c r="I71"/>
  <c r="H71"/>
  <c r="G71"/>
  <c r="P70"/>
  <c r="O70"/>
  <c r="I70"/>
  <c r="H70"/>
  <c r="G70"/>
  <c r="P69"/>
  <c r="O69"/>
  <c r="I69"/>
  <c r="H69"/>
  <c r="G69"/>
  <c r="P68"/>
  <c r="O68"/>
  <c r="I68"/>
  <c r="H68"/>
  <c r="G68"/>
  <c r="P67"/>
  <c r="O67"/>
  <c r="I67"/>
  <c r="H67"/>
  <c r="G67"/>
  <c r="P66"/>
  <c r="O66"/>
  <c r="I66"/>
  <c r="H66"/>
  <c r="G66"/>
  <c r="P65"/>
  <c r="O65"/>
  <c r="I65"/>
  <c r="H65"/>
  <c r="G65"/>
  <c r="P64"/>
  <c r="O64"/>
  <c r="I64"/>
  <c r="H64"/>
  <c r="G64"/>
  <c r="P62"/>
  <c r="O62"/>
  <c r="I62"/>
  <c r="H62"/>
  <c r="G62"/>
  <c r="P61"/>
  <c r="O61"/>
  <c r="I61"/>
  <c r="H61"/>
  <c r="G61"/>
  <c r="P60"/>
  <c r="O60"/>
  <c r="I60"/>
  <c r="H60"/>
  <c r="G60"/>
  <c r="P59"/>
  <c r="O59"/>
  <c r="I59"/>
  <c r="H59"/>
  <c r="G59"/>
  <c r="P58"/>
  <c r="O58"/>
  <c r="I58"/>
  <c r="H58"/>
  <c r="G58"/>
  <c r="P57"/>
  <c r="O57"/>
  <c r="I57"/>
  <c r="H57"/>
  <c r="G57"/>
  <c r="P56"/>
  <c r="O56"/>
  <c r="I56"/>
  <c r="H56"/>
  <c r="G56"/>
  <c r="P55"/>
  <c r="O55"/>
  <c r="I55"/>
  <c r="H55"/>
  <c r="G55"/>
  <c r="P54"/>
  <c r="O54"/>
  <c r="I54"/>
  <c r="H54"/>
  <c r="G54"/>
  <c r="P53"/>
  <c r="O53"/>
  <c r="I53"/>
  <c r="H53"/>
  <c r="G53"/>
  <c r="P52"/>
  <c r="O52"/>
  <c r="I52"/>
  <c r="H52"/>
  <c r="G52"/>
  <c r="P51"/>
  <c r="O51"/>
  <c r="I51"/>
  <c r="H51"/>
  <c r="G51"/>
  <c r="P50"/>
  <c r="O50"/>
  <c r="I50"/>
  <c r="H50"/>
  <c r="G50"/>
  <c r="P49"/>
  <c r="O49"/>
  <c r="I49"/>
  <c r="H49"/>
  <c r="G49"/>
  <c r="P48"/>
  <c r="O48"/>
  <c r="I48"/>
  <c r="H48"/>
  <c r="G48"/>
  <c r="P47"/>
  <c r="O47"/>
  <c r="I47"/>
  <c r="H47"/>
  <c r="G47"/>
  <c r="P46"/>
  <c r="O46"/>
  <c r="I46"/>
  <c r="H46"/>
  <c r="G46"/>
  <c r="P45"/>
  <c r="O45"/>
  <c r="I45"/>
  <c r="H45"/>
  <c r="G45"/>
  <c r="P44"/>
  <c r="O44"/>
  <c r="I44"/>
  <c r="H44"/>
  <c r="G44"/>
  <c r="P43"/>
  <c r="O43"/>
  <c r="I43"/>
  <c r="H43"/>
  <c r="G43"/>
  <c r="P42"/>
  <c r="O42"/>
  <c r="I42"/>
  <c r="H42"/>
  <c r="G42"/>
  <c r="P41"/>
  <c r="O41"/>
  <c r="I41"/>
  <c r="H41"/>
  <c r="G41"/>
  <c r="P40"/>
  <c r="O40"/>
  <c r="I40"/>
  <c r="H40"/>
  <c r="G40"/>
  <c r="P39"/>
  <c r="O39"/>
  <c r="I39"/>
  <c r="H39"/>
  <c r="G39"/>
  <c r="P38"/>
  <c r="O38"/>
  <c r="I38"/>
  <c r="H38"/>
  <c r="G38"/>
  <c r="P37"/>
  <c r="O37"/>
  <c r="I37"/>
  <c r="H37"/>
  <c r="G37"/>
  <c r="P36"/>
  <c r="O36"/>
  <c r="I36"/>
  <c r="H36"/>
  <c r="G36"/>
  <c r="P35"/>
  <c r="O35"/>
  <c r="I35"/>
  <c r="H35"/>
  <c r="G35"/>
  <c r="P34"/>
  <c r="O34"/>
  <c r="I34"/>
  <c r="H34"/>
  <c r="G34"/>
  <c r="P33"/>
  <c r="O33"/>
  <c r="I33"/>
  <c r="H33"/>
  <c r="G33"/>
  <c r="P32"/>
  <c r="O32"/>
  <c r="I32"/>
  <c r="H32"/>
  <c r="G32"/>
  <c r="P31"/>
  <c r="O31"/>
  <c r="I31"/>
  <c r="H31"/>
  <c r="G31"/>
  <c r="P30"/>
  <c r="O30"/>
  <c r="I30"/>
  <c r="H30"/>
  <c r="G30"/>
  <c r="P29"/>
  <c r="O29"/>
  <c r="I29"/>
  <c r="H29"/>
  <c r="G29"/>
  <c r="P28"/>
  <c r="O28"/>
  <c r="I28"/>
  <c r="H28"/>
  <c r="G28"/>
  <c r="P27"/>
  <c r="O27"/>
  <c r="I27"/>
  <c r="H27"/>
  <c r="G27"/>
  <c r="P26"/>
  <c r="O26"/>
  <c r="I26"/>
  <c r="H26"/>
  <c r="G26"/>
  <c r="P25"/>
  <c r="O25"/>
  <c r="I25"/>
  <c r="H25"/>
  <c r="G25"/>
  <c r="P24"/>
  <c r="O24"/>
  <c r="I24"/>
  <c r="H24"/>
  <c r="G24"/>
  <c r="P23"/>
  <c r="O23"/>
  <c r="I23"/>
  <c r="H23"/>
  <c r="G23"/>
  <c r="P22"/>
  <c r="O22"/>
  <c r="I22"/>
  <c r="H22"/>
  <c r="G22"/>
  <c r="P21"/>
  <c r="O21"/>
  <c r="I21"/>
  <c r="H21"/>
  <c r="G21"/>
  <c r="P20"/>
  <c r="O20"/>
  <c r="I20"/>
  <c r="H20"/>
  <c r="G20"/>
  <c r="P19"/>
  <c r="O19"/>
  <c r="I19"/>
  <c r="H19"/>
  <c r="G19"/>
  <c r="P18"/>
  <c r="O18"/>
  <c r="I18"/>
  <c r="H18"/>
  <c r="G18"/>
  <c r="P17"/>
  <c r="O17"/>
  <c r="I17"/>
  <c r="H17"/>
  <c r="G17"/>
  <c r="P16"/>
  <c r="O16"/>
  <c r="I16"/>
  <c r="H16"/>
  <c r="G16"/>
  <c r="P15"/>
  <c r="O15"/>
  <c r="I15"/>
  <c r="H15"/>
  <c r="G15"/>
  <c r="P14"/>
  <c r="O14"/>
  <c r="I14"/>
  <c r="H14"/>
  <c r="G14"/>
  <c r="O83" l="1"/>
  <c r="G84"/>
  <c r="F7" s="1"/>
  <c r="P83"/>
  <c r="Q83"/>
  <c r="F4" s="1"/>
  <c r="I84"/>
  <c r="H84"/>
  <c r="F6" l="1"/>
  <c r="F5"/>
  <c r="T178" i="32" l="1"/>
  <c r="U157"/>
  <c r="K156"/>
  <c r="J156"/>
  <c r="L155"/>
  <c r="J155" s="1"/>
  <c r="U154"/>
  <c r="P154"/>
  <c r="Q154" s="1"/>
  <c r="N154"/>
  <c r="L154"/>
  <c r="K154" s="1"/>
  <c r="AN142"/>
  <c r="AV142" s="1"/>
  <c r="S142"/>
  <c r="T142" s="1"/>
  <c r="U142" s="1"/>
  <c r="E142"/>
  <c r="D142"/>
  <c r="AN141"/>
  <c r="AX141" s="1"/>
  <c r="S141"/>
  <c r="T141" s="1"/>
  <c r="U141" s="1"/>
  <c r="M141"/>
  <c r="E141"/>
  <c r="D141"/>
  <c r="AN140"/>
  <c r="AY140" s="1"/>
  <c r="S140"/>
  <c r="T140" s="1"/>
  <c r="U140" s="1"/>
  <c r="N140"/>
  <c r="J142" s="1"/>
  <c r="M140"/>
  <c r="E140"/>
  <c r="D140"/>
  <c r="AN139"/>
  <c r="AY139" s="1"/>
  <c r="S139"/>
  <c r="T139" s="1"/>
  <c r="U139" s="1"/>
  <c r="M139"/>
  <c r="O139" s="1"/>
  <c r="N139" s="1"/>
  <c r="E139"/>
  <c r="D139"/>
  <c r="AN138"/>
  <c r="AY138" s="1"/>
  <c r="S138"/>
  <c r="T138" s="1"/>
  <c r="U138" s="1"/>
  <c r="M138"/>
  <c r="O138" s="1"/>
  <c r="N138" s="1"/>
  <c r="E138"/>
  <c r="D138"/>
  <c r="AN137"/>
  <c r="AY137" s="1"/>
  <c r="S137"/>
  <c r="T137" s="1"/>
  <c r="U137" s="1"/>
  <c r="M137"/>
  <c r="O137" s="1"/>
  <c r="N137" s="1"/>
  <c r="E137"/>
  <c r="D137"/>
  <c r="AN136"/>
  <c r="AY136" s="1"/>
  <c r="S136"/>
  <c r="T136" s="1"/>
  <c r="U136" s="1"/>
  <c r="M136"/>
  <c r="E136"/>
  <c r="D136"/>
  <c r="AN135"/>
  <c r="AY135" s="1"/>
  <c r="S135"/>
  <c r="T135" s="1"/>
  <c r="U135" s="1"/>
  <c r="M135"/>
  <c r="O135" s="1"/>
  <c r="N135" s="1"/>
  <c r="E135"/>
  <c r="D135"/>
  <c r="S134"/>
  <c r="T134" s="1"/>
  <c r="U134" s="1"/>
  <c r="O134"/>
  <c r="N134" s="1"/>
  <c r="AY131"/>
  <c r="AX131"/>
  <c r="AW131"/>
  <c r="AV131"/>
  <c r="AU131"/>
  <c r="AT131"/>
  <c r="AS131"/>
  <c r="AQ131"/>
  <c r="AP131"/>
  <c r="AO131"/>
  <c r="AE131"/>
  <c r="AR131" s="1"/>
  <c r="S132"/>
  <c r="M132"/>
  <c r="E131"/>
  <c r="D131"/>
  <c r="AY130"/>
  <c r="AX130"/>
  <c r="AW130"/>
  <c r="AV130"/>
  <c r="AU130"/>
  <c r="AT130"/>
  <c r="AS130"/>
  <c r="AQ130"/>
  <c r="AP130"/>
  <c r="AO130"/>
  <c r="AE130"/>
  <c r="AR130" s="1"/>
  <c r="E130"/>
  <c r="D130"/>
  <c r="AY129"/>
  <c r="AX129"/>
  <c r="AW129"/>
  <c r="AV129"/>
  <c r="AU129"/>
  <c r="AT129"/>
  <c r="AS129"/>
  <c r="AQ129"/>
  <c r="AP129"/>
  <c r="AO129"/>
  <c r="AE129"/>
  <c r="AR129" s="1"/>
  <c r="D129"/>
  <c r="AY128"/>
  <c r="AX128"/>
  <c r="AW128"/>
  <c r="AV128"/>
  <c r="AU128"/>
  <c r="AT128"/>
  <c r="AS128"/>
  <c r="AQ128"/>
  <c r="AP128"/>
  <c r="AO128"/>
  <c r="AE128"/>
  <c r="AR128" s="1"/>
  <c r="W128"/>
  <c r="D128"/>
  <c r="AY127"/>
  <c r="AX127"/>
  <c r="AW127"/>
  <c r="AV127"/>
  <c r="AU127"/>
  <c r="AT127"/>
  <c r="AS127"/>
  <c r="AQ127"/>
  <c r="AP127"/>
  <c r="AO127"/>
  <c r="AE127"/>
  <c r="AR127" s="1"/>
  <c r="E127"/>
  <c r="D127"/>
  <c r="AY126"/>
  <c r="AX126"/>
  <c r="AW126"/>
  <c r="AV126"/>
  <c r="AU126"/>
  <c r="AT126"/>
  <c r="AS126"/>
  <c r="AQ126"/>
  <c r="AP126"/>
  <c r="AO126"/>
  <c r="E126"/>
  <c r="AU125"/>
  <c r="AT125"/>
  <c r="AS125"/>
  <c r="AQ125"/>
  <c r="AP125"/>
  <c r="AO125"/>
  <c r="AL125"/>
  <c r="AY125" s="1"/>
  <c r="AK125"/>
  <c r="AX125" s="1"/>
  <c r="AJ125"/>
  <c r="AW125" s="1"/>
  <c r="AI125"/>
  <c r="AV125" s="1"/>
  <c r="AE125"/>
  <c r="AR125" s="1"/>
  <c r="E125"/>
  <c r="AY124"/>
  <c r="AX124"/>
  <c r="AW124"/>
  <c r="AV124"/>
  <c r="AU124"/>
  <c r="AT124"/>
  <c r="AS124"/>
  <c r="AQ124"/>
  <c r="AP124"/>
  <c r="AO124"/>
  <c r="AE124"/>
  <c r="E124"/>
  <c r="D124"/>
  <c r="AY123"/>
  <c r="AX123"/>
  <c r="AW123"/>
  <c r="AV123"/>
  <c r="AU123"/>
  <c r="AT123"/>
  <c r="AS123"/>
  <c r="AQ123"/>
  <c r="AP123"/>
  <c r="AO123"/>
  <c r="AE123"/>
  <c r="AR123" s="1"/>
  <c r="E123"/>
  <c r="D123"/>
  <c r="AY122"/>
  <c r="AX122"/>
  <c r="AW122"/>
  <c r="AV122"/>
  <c r="AU122"/>
  <c r="AT122"/>
  <c r="AS122"/>
  <c r="AQ122"/>
  <c r="AP122"/>
  <c r="AO122"/>
  <c r="AE122"/>
  <c r="AR122" s="1"/>
  <c r="E122"/>
  <c r="D122"/>
  <c r="AY121"/>
  <c r="AX121"/>
  <c r="AW121"/>
  <c r="AV121"/>
  <c r="AU121"/>
  <c r="AT121"/>
  <c r="AS121"/>
  <c r="AQ121"/>
  <c r="AP121"/>
  <c r="AO121"/>
  <c r="AE121"/>
  <c r="AR121" s="1"/>
  <c r="E121"/>
  <c r="D121"/>
  <c r="AY120"/>
  <c r="AX120"/>
  <c r="AW120"/>
  <c r="AV120"/>
  <c r="AU120"/>
  <c r="AT120"/>
  <c r="AS120"/>
  <c r="AQ120"/>
  <c r="AP120"/>
  <c r="AO120"/>
  <c r="AE120"/>
  <c r="AR120" s="1"/>
  <c r="E120"/>
  <c r="D120"/>
  <c r="AY119"/>
  <c r="AX119"/>
  <c r="AW119"/>
  <c r="AV119"/>
  <c r="AU119"/>
  <c r="AT119"/>
  <c r="AS119"/>
  <c r="AQ119"/>
  <c r="AP119"/>
  <c r="AO119"/>
  <c r="AE119"/>
  <c r="AR119" s="1"/>
  <c r="Q119"/>
  <c r="Q120" s="1"/>
  <c r="E119"/>
  <c r="D119"/>
  <c r="AY118"/>
  <c r="AX118"/>
  <c r="AW118"/>
  <c r="AV118"/>
  <c r="AU118"/>
  <c r="AT118"/>
  <c r="AS118"/>
  <c r="AQ118"/>
  <c r="AP118"/>
  <c r="AO118"/>
  <c r="AE118"/>
  <c r="AR118" s="1"/>
  <c r="E118"/>
  <c r="D118"/>
  <c r="AY117"/>
  <c r="AX117"/>
  <c r="AW117"/>
  <c r="AV117"/>
  <c r="AU117"/>
  <c r="AT117"/>
  <c r="AS117"/>
  <c r="AQ117"/>
  <c r="AP117"/>
  <c r="AO117"/>
  <c r="AE117"/>
  <c r="AR117" s="1"/>
  <c r="E117"/>
  <c r="D117"/>
  <c r="AY114"/>
  <c r="AX114"/>
  <c r="AW114"/>
  <c r="AV114"/>
  <c r="AU114"/>
  <c r="AT114"/>
  <c r="AS114"/>
  <c r="AQ114"/>
  <c r="AP114"/>
  <c r="AO114"/>
  <c r="AN114"/>
  <c r="AE114"/>
  <c r="AR114" s="1"/>
  <c r="E114"/>
  <c r="D114"/>
  <c r="AY113"/>
  <c r="AX113"/>
  <c r="AW113"/>
  <c r="AV113"/>
  <c r="AU113"/>
  <c r="AT113"/>
  <c r="AS113"/>
  <c r="AQ113"/>
  <c r="AP113"/>
  <c r="AO113"/>
  <c r="AN113"/>
  <c r="AE113"/>
  <c r="AR113" s="1"/>
  <c r="E113"/>
  <c r="D113"/>
  <c r="AY112"/>
  <c r="AX112"/>
  <c r="AW112"/>
  <c r="AV112"/>
  <c r="AU112"/>
  <c r="AT112"/>
  <c r="AS112"/>
  <c r="AQ112"/>
  <c r="AP112"/>
  <c r="AO112"/>
  <c r="AN112"/>
  <c r="AE112"/>
  <c r="AR112" s="1"/>
  <c r="E112"/>
  <c r="D112"/>
  <c r="AY111"/>
  <c r="AX111"/>
  <c r="AW111"/>
  <c r="AV111"/>
  <c r="AU111"/>
  <c r="AT111"/>
  <c r="AS111"/>
  <c r="AQ111"/>
  <c r="AP111"/>
  <c r="AO111"/>
  <c r="AN111"/>
  <c r="AE111"/>
  <c r="AR111" s="1"/>
  <c r="E111"/>
  <c r="D111"/>
  <c r="AY110"/>
  <c r="AX110"/>
  <c r="AW110"/>
  <c r="AV110"/>
  <c r="AU110"/>
  <c r="AT110"/>
  <c r="AS110"/>
  <c r="AQ110"/>
  <c r="AP110"/>
  <c r="AO110"/>
  <c r="AN110"/>
  <c r="AE110"/>
  <c r="AR110" s="1"/>
  <c r="Q110"/>
  <c r="N110"/>
  <c r="E110"/>
  <c r="D110"/>
  <c r="AY109"/>
  <c r="AX109"/>
  <c r="AW109"/>
  <c r="AV109"/>
  <c r="AU109"/>
  <c r="AT109"/>
  <c r="AS109"/>
  <c r="AQ109"/>
  <c r="AP109"/>
  <c r="AO109"/>
  <c r="AN109"/>
  <c r="AE109"/>
  <c r="AR109" s="1"/>
  <c r="E109"/>
  <c r="D109"/>
  <c r="AY108"/>
  <c r="AX108"/>
  <c r="AW108"/>
  <c r="AV108"/>
  <c r="AU108"/>
  <c r="AT108"/>
  <c r="AS108"/>
  <c r="AQ108"/>
  <c r="AP108"/>
  <c r="AO108"/>
  <c r="AN108"/>
  <c r="AE108"/>
  <c r="AR108" s="1"/>
  <c r="E108"/>
  <c r="D108"/>
  <c r="AY107"/>
  <c r="AX107"/>
  <c r="AW107"/>
  <c r="AV107"/>
  <c r="AU107"/>
  <c r="AT107"/>
  <c r="AS107"/>
  <c r="AQ107"/>
  <c r="AP107"/>
  <c r="AO107"/>
  <c r="AN107"/>
  <c r="AE107"/>
  <c r="AR107" s="1"/>
  <c r="S107"/>
  <c r="T107" s="1"/>
  <c r="M107"/>
  <c r="N107" s="1"/>
  <c r="E107"/>
  <c r="D107"/>
  <c r="AY106"/>
  <c r="AX106"/>
  <c r="AW106"/>
  <c r="AV106"/>
  <c r="AU106"/>
  <c r="AT106"/>
  <c r="AS106"/>
  <c r="AQ106"/>
  <c r="AP106"/>
  <c r="AO106"/>
  <c r="AN106"/>
  <c r="AE106"/>
  <c r="AR106" s="1"/>
  <c r="E106"/>
  <c r="D106"/>
  <c r="AY105"/>
  <c r="AX105"/>
  <c r="AW105"/>
  <c r="AV105"/>
  <c r="AU105"/>
  <c r="AT105"/>
  <c r="AS105"/>
  <c r="AQ105"/>
  <c r="AP105"/>
  <c r="AO105"/>
  <c r="AN105"/>
  <c r="AE105"/>
  <c r="AR105" s="1"/>
  <c r="E105"/>
  <c r="D105"/>
  <c r="AY104"/>
  <c r="AX104"/>
  <c r="AW104"/>
  <c r="AV104"/>
  <c r="AU104"/>
  <c r="AT104"/>
  <c r="AS104"/>
  <c r="AQ104"/>
  <c r="AP104"/>
  <c r="AO104"/>
  <c r="AN104"/>
  <c r="AE104"/>
  <c r="AR104" s="1"/>
  <c r="E104"/>
  <c r="D104"/>
  <c r="AY103"/>
  <c r="AX103"/>
  <c r="AW103"/>
  <c r="AV103"/>
  <c r="AU103"/>
  <c r="AT103"/>
  <c r="AS103"/>
  <c r="AQ103"/>
  <c r="AP103"/>
  <c r="AO103"/>
  <c r="AN103"/>
  <c r="AE103"/>
  <c r="AR103" s="1"/>
  <c r="V103"/>
  <c r="V104" s="1"/>
  <c r="S103"/>
  <c r="Q103"/>
  <c r="E103"/>
  <c r="D103"/>
  <c r="AY102"/>
  <c r="AX102"/>
  <c r="AW102"/>
  <c r="AV102"/>
  <c r="AU102"/>
  <c r="AT102"/>
  <c r="AS102"/>
  <c r="AQ102"/>
  <c r="AP102"/>
  <c r="AO102"/>
  <c r="AN102"/>
  <c r="AE102"/>
  <c r="AR102" s="1"/>
  <c r="W102"/>
  <c r="E102"/>
  <c r="D102"/>
  <c r="AY101"/>
  <c r="AX101"/>
  <c r="AW101"/>
  <c r="AV101"/>
  <c r="AU101"/>
  <c r="AT101"/>
  <c r="AS101"/>
  <c r="AQ101"/>
  <c r="AP101"/>
  <c r="AO101"/>
  <c r="AN101"/>
  <c r="AE101"/>
  <c r="AR101" s="1"/>
  <c r="E101"/>
  <c r="D101"/>
  <c r="AY100"/>
  <c r="AX100"/>
  <c r="AW100"/>
  <c r="AV100"/>
  <c r="AU100"/>
  <c r="AT100"/>
  <c r="AS100"/>
  <c r="AQ100"/>
  <c r="AP100"/>
  <c r="AO100"/>
  <c r="AN100"/>
  <c r="AE100"/>
  <c r="AR100" s="1"/>
  <c r="E100"/>
  <c r="D100"/>
  <c r="AY99"/>
  <c r="AX99"/>
  <c r="AW99"/>
  <c r="AV99"/>
  <c r="AU99"/>
  <c r="AT99"/>
  <c r="AS99"/>
  <c r="AQ99"/>
  <c r="AP99"/>
  <c r="AO99"/>
  <c r="AN99"/>
  <c r="AE99"/>
  <c r="AR99" s="1"/>
  <c r="E99"/>
  <c r="D99"/>
  <c r="AY98"/>
  <c r="AX98"/>
  <c r="AW98"/>
  <c r="AV98"/>
  <c r="AU98"/>
  <c r="AT98"/>
  <c r="AS98"/>
  <c r="AQ98"/>
  <c r="AP98"/>
  <c r="AO98"/>
  <c r="AN98"/>
  <c r="AE98"/>
  <c r="AR98" s="1"/>
  <c r="E98"/>
  <c r="D98"/>
  <c r="AY97"/>
  <c r="AX97"/>
  <c r="AW97"/>
  <c r="AV97"/>
  <c r="AU97"/>
  <c r="AT97"/>
  <c r="AS97"/>
  <c r="AQ97"/>
  <c r="AP97"/>
  <c r="AO97"/>
  <c r="AN97"/>
  <c r="AE97"/>
  <c r="AR97" s="1"/>
  <c r="E97"/>
  <c r="D97"/>
  <c r="AY96"/>
  <c r="AX96"/>
  <c r="AW96"/>
  <c r="AV96"/>
  <c r="AU96"/>
  <c r="AT96"/>
  <c r="AS96"/>
  <c r="AQ96"/>
  <c r="AP96"/>
  <c r="AO96"/>
  <c r="AN96"/>
  <c r="AE96"/>
  <c r="AR96" s="1"/>
  <c r="E96"/>
  <c r="D96"/>
  <c r="AY95"/>
  <c r="AX95"/>
  <c r="AW95"/>
  <c r="AV95"/>
  <c r="AU95"/>
  <c r="AT95"/>
  <c r="AS95"/>
  <c r="AQ95"/>
  <c r="AP95"/>
  <c r="AO95"/>
  <c r="AN95"/>
  <c r="AE95"/>
  <c r="AR95" s="1"/>
  <c r="E95"/>
  <c r="D95"/>
  <c r="I93"/>
  <c r="AY92"/>
  <c r="AX92"/>
  <c r="AW92"/>
  <c r="AV92"/>
  <c r="AU92"/>
  <c r="AT92"/>
  <c r="AS92"/>
  <c r="AR92"/>
  <c r="AQ92"/>
  <c r="AP92"/>
  <c r="AO92"/>
  <c r="AN92"/>
  <c r="E92"/>
  <c r="D92"/>
  <c r="AY91"/>
  <c r="AX91"/>
  <c r="AW91"/>
  <c r="AV91"/>
  <c r="AU91"/>
  <c r="AT91"/>
  <c r="AS91"/>
  <c r="AR91"/>
  <c r="AQ91"/>
  <c r="AP91"/>
  <c r="AO91"/>
  <c r="AN91"/>
  <c r="E91"/>
  <c r="D91"/>
  <c r="AY90"/>
  <c r="AX90"/>
  <c r="AW90"/>
  <c r="AV90"/>
  <c r="AU90"/>
  <c r="AT90"/>
  <c r="AS90"/>
  <c r="AR90"/>
  <c r="AQ90"/>
  <c r="AP90"/>
  <c r="AO90"/>
  <c r="AN90"/>
  <c r="E90"/>
  <c r="D90"/>
  <c r="AY89"/>
  <c r="AX89"/>
  <c r="AW89"/>
  <c r="AV89"/>
  <c r="AU89"/>
  <c r="AT89"/>
  <c r="AS89"/>
  <c r="AR89"/>
  <c r="AQ89"/>
  <c r="AP89"/>
  <c r="AO89"/>
  <c r="AN89"/>
  <c r="E89"/>
  <c r="D89"/>
  <c r="AY88"/>
  <c r="AX88"/>
  <c r="AW88"/>
  <c r="AV88"/>
  <c r="AU88"/>
  <c r="AT88"/>
  <c r="AS88"/>
  <c r="AR88"/>
  <c r="AQ88"/>
  <c r="AP88"/>
  <c r="AO88"/>
  <c r="AN88"/>
  <c r="E88"/>
  <c r="D88"/>
  <c r="AY87"/>
  <c r="AX87"/>
  <c r="AW87"/>
  <c r="AV87"/>
  <c r="AU87"/>
  <c r="AT87"/>
  <c r="AS87"/>
  <c r="AR87"/>
  <c r="AQ87"/>
  <c r="AP87"/>
  <c r="AO87"/>
  <c r="AN87"/>
  <c r="E87"/>
  <c r="D87"/>
  <c r="AY86"/>
  <c r="AX86"/>
  <c r="AW86"/>
  <c r="AV86"/>
  <c r="AU86"/>
  <c r="AT86"/>
  <c r="AS86"/>
  <c r="AR86"/>
  <c r="AQ86"/>
  <c r="AP86"/>
  <c r="AO86"/>
  <c r="AN86"/>
  <c r="E86"/>
  <c r="D86"/>
  <c r="D82"/>
  <c r="Q165"/>
  <c r="L83" s="1"/>
  <c r="L84" s="1"/>
  <c r="L81"/>
  <c r="M81" s="1"/>
  <c r="D81"/>
  <c r="M80"/>
  <c r="AY79"/>
  <c r="AX79"/>
  <c r="AW79"/>
  <c r="AV79"/>
  <c r="AU79"/>
  <c r="AT79"/>
  <c r="AS79"/>
  <c r="AR79"/>
  <c r="AQ79"/>
  <c r="AP79"/>
  <c r="AO79"/>
  <c r="AN79"/>
  <c r="I79"/>
  <c r="E79"/>
  <c r="D79"/>
  <c r="AY78"/>
  <c r="AX78"/>
  <c r="AW78"/>
  <c r="AV78"/>
  <c r="AU78"/>
  <c r="AT78"/>
  <c r="AS78"/>
  <c r="AR78"/>
  <c r="AQ78"/>
  <c r="AP78"/>
  <c r="AO78"/>
  <c r="AN78"/>
  <c r="E78"/>
  <c r="D78"/>
  <c r="AY77"/>
  <c r="AX77"/>
  <c r="AW77"/>
  <c r="AV77"/>
  <c r="AU77"/>
  <c r="AT77"/>
  <c r="AS77"/>
  <c r="AR77"/>
  <c r="AQ77"/>
  <c r="AP77"/>
  <c r="AO77"/>
  <c r="AN77"/>
  <c r="E77"/>
  <c r="D77"/>
  <c r="AY76"/>
  <c r="AX76"/>
  <c r="AW76"/>
  <c r="AV76"/>
  <c r="AU76"/>
  <c r="AT76"/>
  <c r="AS76"/>
  <c r="AR76"/>
  <c r="AQ76"/>
  <c r="AP76"/>
  <c r="AO76"/>
  <c r="AN76"/>
  <c r="W76"/>
  <c r="V76"/>
  <c r="E76"/>
  <c r="D76"/>
  <c r="AY75"/>
  <c r="AX75"/>
  <c r="AW75"/>
  <c r="AV75"/>
  <c r="AU75"/>
  <c r="AT75"/>
  <c r="AS75"/>
  <c r="AR75"/>
  <c r="AQ75"/>
  <c r="AP75"/>
  <c r="AO75"/>
  <c r="AN75"/>
  <c r="W75"/>
  <c r="V75"/>
  <c r="E75"/>
  <c r="D75"/>
  <c r="AY74"/>
  <c r="AX74"/>
  <c r="AW74"/>
  <c r="AV74"/>
  <c r="AU74"/>
  <c r="AT74"/>
  <c r="AS74"/>
  <c r="AR74"/>
  <c r="AQ74"/>
  <c r="AP74"/>
  <c r="AO74"/>
  <c r="AN74"/>
  <c r="W74"/>
  <c r="V74"/>
  <c r="E74"/>
  <c r="D74"/>
  <c r="AY73"/>
  <c r="AX73"/>
  <c r="AW73"/>
  <c r="AV73"/>
  <c r="AU73"/>
  <c r="AT73"/>
  <c r="AS73"/>
  <c r="AR73"/>
  <c r="AQ73"/>
  <c r="AP73"/>
  <c r="AO73"/>
  <c r="AN73"/>
  <c r="E73"/>
  <c r="D73"/>
  <c r="AY72"/>
  <c r="AX72"/>
  <c r="AW72"/>
  <c r="AV72"/>
  <c r="AU72"/>
  <c r="AT72"/>
  <c r="AS72"/>
  <c r="AR72"/>
  <c r="AQ72"/>
  <c r="AP72"/>
  <c r="AO72"/>
  <c r="AN72"/>
  <c r="E72"/>
  <c r="D72"/>
  <c r="AY71"/>
  <c r="AX71"/>
  <c r="AW71"/>
  <c r="AV71"/>
  <c r="AU71"/>
  <c r="AT71"/>
  <c r="AS71"/>
  <c r="AR71"/>
  <c r="AQ71"/>
  <c r="AP71"/>
  <c r="AO71"/>
  <c r="AN71"/>
  <c r="W71"/>
  <c r="V71" s="1"/>
  <c r="M71"/>
  <c r="L71"/>
  <c r="E71"/>
  <c r="D71"/>
  <c r="AY70"/>
  <c r="AX70"/>
  <c r="AW70"/>
  <c r="AV70"/>
  <c r="AU70"/>
  <c r="AT70"/>
  <c r="AS70"/>
  <c r="AR70"/>
  <c r="AQ70"/>
  <c r="AP70"/>
  <c r="AO70"/>
  <c r="AN70"/>
  <c r="W70"/>
  <c r="V70" s="1"/>
  <c r="E70"/>
  <c r="D70"/>
  <c r="AY69"/>
  <c r="AX69"/>
  <c r="AW69"/>
  <c r="AV69"/>
  <c r="AU69"/>
  <c r="AT69"/>
  <c r="AS69"/>
  <c r="AR69"/>
  <c r="AQ69"/>
  <c r="AP69"/>
  <c r="AO69"/>
  <c r="AN69"/>
  <c r="W69"/>
  <c r="V69" s="1"/>
  <c r="E69"/>
  <c r="D69"/>
  <c r="AY68"/>
  <c r="AX68"/>
  <c r="AW68"/>
  <c r="AV68"/>
  <c r="AU68"/>
  <c r="AT68"/>
  <c r="AS68"/>
  <c r="AR68"/>
  <c r="AQ68"/>
  <c r="AP68"/>
  <c r="AO68"/>
  <c r="AN68"/>
  <c r="E68"/>
  <c r="D68"/>
  <c r="AY67"/>
  <c r="AX67"/>
  <c r="AW67"/>
  <c r="AV67"/>
  <c r="AU67"/>
  <c r="AT67"/>
  <c r="AS67"/>
  <c r="AR67"/>
  <c r="AQ67"/>
  <c r="AP67"/>
  <c r="AO67"/>
  <c r="AN67"/>
  <c r="E67"/>
  <c r="D67"/>
  <c r="AY66"/>
  <c r="AX66"/>
  <c r="AW66"/>
  <c r="AV66"/>
  <c r="AU66"/>
  <c r="AT66"/>
  <c r="AS66"/>
  <c r="AR66"/>
  <c r="AQ66"/>
  <c r="AP66"/>
  <c r="AO66"/>
  <c r="AN66"/>
  <c r="W66"/>
  <c r="E66"/>
  <c r="D66"/>
  <c r="AY65"/>
  <c r="AX65"/>
  <c r="AW65"/>
  <c r="AV65"/>
  <c r="AU65"/>
  <c r="AT65"/>
  <c r="AS65"/>
  <c r="AR65"/>
  <c r="AQ65"/>
  <c r="AP65"/>
  <c r="AO65"/>
  <c r="AN65"/>
  <c r="W65"/>
  <c r="E65"/>
  <c r="D65"/>
  <c r="AY64"/>
  <c r="AX64"/>
  <c r="AW64"/>
  <c r="AV64"/>
  <c r="AU64"/>
  <c r="AT64"/>
  <c r="AS64"/>
  <c r="AR64"/>
  <c r="AQ64"/>
  <c r="AP64"/>
  <c r="AO64"/>
  <c r="AN64"/>
  <c r="W64"/>
  <c r="E64"/>
  <c r="D64"/>
  <c r="AY63"/>
  <c r="AX63"/>
  <c r="AW63"/>
  <c r="AV63"/>
  <c r="AU63"/>
  <c r="AT63"/>
  <c r="AS63"/>
  <c r="AR63"/>
  <c r="AQ63"/>
  <c r="AP63"/>
  <c r="AO63"/>
  <c r="AN63"/>
  <c r="S92"/>
  <c r="W63"/>
  <c r="E63"/>
  <c r="D63"/>
  <c r="AY62"/>
  <c r="AX62"/>
  <c r="AW62"/>
  <c r="AV62"/>
  <c r="AU62"/>
  <c r="AT62"/>
  <c r="AS62"/>
  <c r="AR62"/>
  <c r="AQ62"/>
  <c r="AP62"/>
  <c r="AO62"/>
  <c r="AN62"/>
  <c r="W62"/>
  <c r="E62"/>
  <c r="D62"/>
  <c r="AY61"/>
  <c r="AX61"/>
  <c r="AW61"/>
  <c r="AV61"/>
  <c r="AU61"/>
  <c r="AT61"/>
  <c r="AS61"/>
  <c r="AR61"/>
  <c r="AQ61"/>
  <c r="AP61"/>
  <c r="AO61"/>
  <c r="AN61"/>
  <c r="W61"/>
  <c r="E61"/>
  <c r="D61"/>
  <c r="AY60"/>
  <c r="AX60"/>
  <c r="AW60"/>
  <c r="AV60"/>
  <c r="AU60"/>
  <c r="AT60"/>
  <c r="AS60"/>
  <c r="AR60"/>
  <c r="AQ60"/>
  <c r="AP60"/>
  <c r="AO60"/>
  <c r="AN60"/>
  <c r="W60"/>
  <c r="E60"/>
  <c r="D60"/>
  <c r="AY59"/>
  <c r="AX59"/>
  <c r="AW59"/>
  <c r="AV59"/>
  <c r="AU59"/>
  <c r="AT59"/>
  <c r="AS59"/>
  <c r="AR59"/>
  <c r="AQ59"/>
  <c r="AP59"/>
  <c r="AO59"/>
  <c r="AN59"/>
  <c r="W59"/>
  <c r="E59"/>
  <c r="D59"/>
  <c r="AY58"/>
  <c r="AX58"/>
  <c r="AW58"/>
  <c r="AV58"/>
  <c r="AU58"/>
  <c r="AT58"/>
  <c r="AS58"/>
  <c r="AR58"/>
  <c r="AQ58"/>
  <c r="AP58"/>
  <c r="AO58"/>
  <c r="AN58"/>
  <c r="M58"/>
  <c r="E58"/>
  <c r="D58"/>
  <c r="AY57"/>
  <c r="AX57"/>
  <c r="AW57"/>
  <c r="AV57"/>
  <c r="AU57"/>
  <c r="AT57"/>
  <c r="AS57"/>
  <c r="AR57"/>
  <c r="AQ57"/>
  <c r="AP57"/>
  <c r="AO57"/>
  <c r="AN57"/>
  <c r="L57"/>
  <c r="E57"/>
  <c r="D57"/>
  <c r="AY56"/>
  <c r="AX56"/>
  <c r="AW56"/>
  <c r="AV56"/>
  <c r="AU56"/>
  <c r="AT56"/>
  <c r="AS56"/>
  <c r="AR56"/>
  <c r="AQ56"/>
  <c r="AP56"/>
  <c r="AO56"/>
  <c r="AN56"/>
  <c r="E56"/>
  <c r="D56"/>
  <c r="AY55"/>
  <c r="AX55"/>
  <c r="AW55"/>
  <c r="AV55"/>
  <c r="AU55"/>
  <c r="AT55"/>
  <c r="AS55"/>
  <c r="AR55"/>
  <c r="AQ55"/>
  <c r="AP55"/>
  <c r="AO55"/>
  <c r="AN55"/>
  <c r="E55"/>
  <c r="D55"/>
  <c r="AY54"/>
  <c r="AX54"/>
  <c r="AW54"/>
  <c r="AV54"/>
  <c r="AU54"/>
  <c r="AT54"/>
  <c r="AS54"/>
  <c r="AR54"/>
  <c r="AQ54"/>
  <c r="AP54"/>
  <c r="AO54"/>
  <c r="AN54"/>
  <c r="E54"/>
  <c r="D54"/>
  <c r="AY53"/>
  <c r="AX53"/>
  <c r="AW53"/>
  <c r="AV53"/>
  <c r="AU53"/>
  <c r="AT53"/>
  <c r="AS53"/>
  <c r="AR53"/>
  <c r="AQ53"/>
  <c r="AP53"/>
  <c r="AO53"/>
  <c r="AN53"/>
  <c r="E53"/>
  <c r="D53"/>
  <c r="AY52"/>
  <c r="AX52"/>
  <c r="AW52"/>
  <c r="AV52"/>
  <c r="AU52"/>
  <c r="AT52"/>
  <c r="AS52"/>
  <c r="AR52"/>
  <c r="AQ52"/>
  <c r="AP52"/>
  <c r="AO52"/>
  <c r="AN52"/>
  <c r="E52"/>
  <c r="D52"/>
  <c r="AY51"/>
  <c r="AX51"/>
  <c r="AW51"/>
  <c r="AV51"/>
  <c r="AU51"/>
  <c r="AT51"/>
  <c r="AS51"/>
  <c r="AR51"/>
  <c r="AQ51"/>
  <c r="AP51"/>
  <c r="AO51"/>
  <c r="AN51"/>
  <c r="E51"/>
  <c r="D51"/>
  <c r="AY50"/>
  <c r="AX50"/>
  <c r="AW50"/>
  <c r="AV50"/>
  <c r="AU50"/>
  <c r="AT50"/>
  <c r="AS50"/>
  <c r="AR50"/>
  <c r="AQ50"/>
  <c r="AP50"/>
  <c r="AN50"/>
  <c r="E50"/>
  <c r="D50"/>
  <c r="AY49"/>
  <c r="AX49"/>
  <c r="AW49"/>
  <c r="AV49"/>
  <c r="AU49"/>
  <c r="AT49"/>
  <c r="AS49"/>
  <c r="AR49"/>
  <c r="AQ49"/>
  <c r="AP49"/>
  <c r="AO49"/>
  <c r="AN49"/>
  <c r="E49"/>
  <c r="D49"/>
  <c r="AY48"/>
  <c r="AX48"/>
  <c r="AW48"/>
  <c r="AV48"/>
  <c r="AU48"/>
  <c r="AT48"/>
  <c r="AS48"/>
  <c r="AR48"/>
  <c r="AQ48"/>
  <c r="AP48"/>
  <c r="AO48"/>
  <c r="AN48"/>
  <c r="V48"/>
  <c r="T48"/>
  <c r="R48"/>
  <c r="P48"/>
  <c r="N48"/>
  <c r="L48"/>
  <c r="K48"/>
  <c r="E48"/>
  <c r="D48"/>
  <c r="AY47"/>
  <c r="AX47"/>
  <c r="AW47"/>
  <c r="AV47"/>
  <c r="AU47"/>
  <c r="AT47"/>
  <c r="AS47"/>
  <c r="AR47"/>
  <c r="AQ47"/>
  <c r="AP47"/>
  <c r="AO47"/>
  <c r="AN47"/>
  <c r="E47"/>
  <c r="D47"/>
  <c r="AY46"/>
  <c r="AX46"/>
  <c r="AW46"/>
  <c r="AV46"/>
  <c r="AU46"/>
  <c r="AT46"/>
  <c r="AS46"/>
  <c r="AR46"/>
  <c r="AQ46"/>
  <c r="AP46"/>
  <c r="AO46"/>
  <c r="AN46"/>
  <c r="E46"/>
  <c r="D46"/>
  <c r="AY45"/>
  <c r="AX45"/>
  <c r="AW45"/>
  <c r="AV45"/>
  <c r="AN45"/>
  <c r="AE45"/>
  <c r="AD45"/>
  <c r="AQ45" s="1"/>
  <c r="AC45"/>
  <c r="AP45" s="1"/>
  <c r="AB45"/>
  <c r="AO45" s="1"/>
  <c r="E45"/>
  <c r="D45"/>
  <c r="AY44"/>
  <c r="AX44"/>
  <c r="AW44"/>
  <c r="AV44"/>
  <c r="AN44"/>
  <c r="AH44"/>
  <c r="AU44" s="1"/>
  <c r="AG44"/>
  <c r="AT44" s="1"/>
  <c r="AF44"/>
  <c r="AF45" s="1"/>
  <c r="AS45" s="1"/>
  <c r="AE44"/>
  <c r="AD44"/>
  <c r="AQ44" s="1"/>
  <c r="AC44"/>
  <c r="AP44" s="1"/>
  <c r="AB44"/>
  <c r="AO44" s="1"/>
  <c r="L44"/>
  <c r="M44" s="1"/>
  <c r="I44"/>
  <c r="E44"/>
  <c r="D44"/>
  <c r="AY43"/>
  <c r="AX43"/>
  <c r="AW43"/>
  <c r="AV43"/>
  <c r="AU43"/>
  <c r="AT43"/>
  <c r="AS43"/>
  <c r="AR43"/>
  <c r="AQ43"/>
  <c r="AP43"/>
  <c r="AO43"/>
  <c r="AN43"/>
  <c r="E43"/>
  <c r="D43"/>
  <c r="AY42"/>
  <c r="AX42"/>
  <c r="AW42"/>
  <c r="AV42"/>
  <c r="AU42"/>
  <c r="AT42"/>
  <c r="AS42"/>
  <c r="AR42"/>
  <c r="AQ42"/>
  <c r="AP42"/>
  <c r="AO42"/>
  <c r="AN42"/>
  <c r="E42"/>
  <c r="D42"/>
  <c r="AY41"/>
  <c r="AX41"/>
  <c r="AW41"/>
  <c r="AV41"/>
  <c r="AU41"/>
  <c r="AT41"/>
  <c r="AS41"/>
  <c r="AR41"/>
  <c r="AQ41"/>
  <c r="AP41"/>
  <c r="AO41"/>
  <c r="AN41"/>
  <c r="E41"/>
  <c r="D41"/>
  <c r="AY40"/>
  <c r="AX40"/>
  <c r="AW40"/>
  <c r="AV40"/>
  <c r="AU40"/>
  <c r="AT40"/>
  <c r="AS40"/>
  <c r="AR40"/>
  <c r="AQ40"/>
  <c r="AP40"/>
  <c r="AO40"/>
  <c r="AN40"/>
  <c r="E40"/>
  <c r="D40"/>
  <c r="AY39"/>
  <c r="AX39"/>
  <c r="AW39"/>
  <c r="AV39"/>
  <c r="AU39"/>
  <c r="AT39"/>
  <c r="AS39"/>
  <c r="AR39"/>
  <c r="AQ39"/>
  <c r="AP39"/>
  <c r="AO39"/>
  <c r="AN39"/>
  <c r="AA39"/>
  <c r="E39" s="1"/>
  <c r="D39"/>
  <c r="AY38"/>
  <c r="AX38"/>
  <c r="AW38"/>
  <c r="AV38"/>
  <c r="AU38"/>
  <c r="AT38"/>
  <c r="AS38"/>
  <c r="AR38"/>
  <c r="AQ38"/>
  <c r="AP38"/>
  <c r="AO38"/>
  <c r="AN38"/>
  <c r="E38"/>
  <c r="D38"/>
  <c r="AY37"/>
  <c r="AX37"/>
  <c r="AW37"/>
  <c r="AV37"/>
  <c r="AU37"/>
  <c r="AT37"/>
  <c r="AS37"/>
  <c r="AR37"/>
  <c r="AQ37"/>
  <c r="AP37"/>
  <c r="AO37"/>
  <c r="AN37"/>
  <c r="AY36"/>
  <c r="AX36"/>
  <c r="AW36"/>
  <c r="AV36"/>
  <c r="AU36"/>
  <c r="AT36"/>
  <c r="AS36"/>
  <c r="AR36"/>
  <c r="AQ36"/>
  <c r="AP36"/>
  <c r="AO36"/>
  <c r="AN36"/>
  <c r="AY35"/>
  <c r="AX35"/>
  <c r="AW35"/>
  <c r="AV35"/>
  <c r="AU35"/>
  <c r="AT35"/>
  <c r="AS35"/>
  <c r="AR35"/>
  <c r="AQ35"/>
  <c r="AP35"/>
  <c r="AO35"/>
  <c r="AN35"/>
  <c r="AY34"/>
  <c r="AX34"/>
  <c r="AW34"/>
  <c r="AV34"/>
  <c r="AU34"/>
  <c r="AT34"/>
  <c r="AS34"/>
  <c r="AR34"/>
  <c r="AQ34"/>
  <c r="AP34"/>
  <c r="AO34"/>
  <c r="AN34"/>
  <c r="E34"/>
  <c r="D34"/>
  <c r="AY33"/>
  <c r="AX33"/>
  <c r="AW33"/>
  <c r="AV33"/>
  <c r="AU33"/>
  <c r="AT33"/>
  <c r="AS33"/>
  <c r="AR33"/>
  <c r="AQ33"/>
  <c r="AP33"/>
  <c r="AO33"/>
  <c r="AN33"/>
  <c r="M33"/>
  <c r="E33"/>
  <c r="D33"/>
  <c r="AY32"/>
  <c r="AX32"/>
  <c r="AW32"/>
  <c r="AV32"/>
  <c r="AU32"/>
  <c r="AT32"/>
  <c r="AS32"/>
  <c r="AR32"/>
  <c r="AQ32"/>
  <c r="AP32"/>
  <c r="AO32"/>
  <c r="AN32"/>
  <c r="E32"/>
  <c r="D32"/>
  <c r="AY31"/>
  <c r="AX31"/>
  <c r="AW31"/>
  <c r="AV31"/>
  <c r="AU31"/>
  <c r="AT31"/>
  <c r="AS31"/>
  <c r="AR31"/>
  <c r="AQ31"/>
  <c r="AP31"/>
  <c r="AO31"/>
  <c r="AN31"/>
  <c r="E31"/>
  <c r="D31"/>
  <c r="AY30"/>
  <c r="AX30"/>
  <c r="AW30"/>
  <c r="AV30"/>
  <c r="AU30"/>
  <c r="AT30"/>
  <c r="AS30"/>
  <c r="AR30"/>
  <c r="AQ30"/>
  <c r="AP30"/>
  <c r="AO30"/>
  <c r="AN30"/>
  <c r="E30"/>
  <c r="D30"/>
  <c r="AY29"/>
  <c r="AX29"/>
  <c r="AW29"/>
  <c r="AV29"/>
  <c r="AU29"/>
  <c r="AT29"/>
  <c r="AS29"/>
  <c r="AR29"/>
  <c r="AQ29"/>
  <c r="AP29"/>
  <c r="AO29"/>
  <c r="AN29"/>
  <c r="E29"/>
  <c r="D29"/>
  <c r="AY28"/>
  <c r="AX28"/>
  <c r="AW28"/>
  <c r="AV28"/>
  <c r="AU28"/>
  <c r="AT28"/>
  <c r="AS28"/>
  <c r="AR28"/>
  <c r="AQ28"/>
  <c r="AP28"/>
  <c r="AO28"/>
  <c r="AN28"/>
  <c r="E28"/>
  <c r="D28"/>
  <c r="AY27"/>
  <c r="AX27"/>
  <c r="AW27"/>
  <c r="AV27"/>
  <c r="AU27"/>
  <c r="AT27"/>
  <c r="AS27"/>
  <c r="AR27"/>
  <c r="AQ27"/>
  <c r="AP27"/>
  <c r="AO27"/>
  <c r="AN27"/>
  <c r="Q27"/>
  <c r="E27"/>
  <c r="D27"/>
  <c r="AY26"/>
  <c r="AX26"/>
  <c r="AW26"/>
  <c r="AV26"/>
  <c r="AU26"/>
  <c r="AT26"/>
  <c r="AS26"/>
  <c r="AR26"/>
  <c r="AQ26"/>
  <c r="AP26"/>
  <c r="AO26"/>
  <c r="AN26"/>
  <c r="M26"/>
  <c r="L26"/>
  <c r="E26"/>
  <c r="D26"/>
  <c r="AY25"/>
  <c r="AX25"/>
  <c r="AW25"/>
  <c r="AV25"/>
  <c r="AU25"/>
  <c r="AT25"/>
  <c r="AS25"/>
  <c r="AR25"/>
  <c r="AQ25"/>
  <c r="AP25"/>
  <c r="AO25"/>
  <c r="AN25"/>
  <c r="E25"/>
  <c r="D25"/>
  <c r="AY24"/>
  <c r="AX24"/>
  <c r="AW24"/>
  <c r="AV24"/>
  <c r="AU24"/>
  <c r="AT24"/>
  <c r="AS24"/>
  <c r="AR24"/>
  <c r="AQ24"/>
  <c r="AP24"/>
  <c r="AO24"/>
  <c r="AN24"/>
  <c r="E24"/>
  <c r="D24"/>
  <c r="AY23"/>
  <c r="AX23"/>
  <c r="AW23"/>
  <c r="AV23"/>
  <c r="AU23"/>
  <c r="AT23"/>
  <c r="AS23"/>
  <c r="AR23"/>
  <c r="AQ23"/>
  <c r="AP23"/>
  <c r="AO23"/>
  <c r="AN23"/>
  <c r="E23"/>
  <c r="D23"/>
  <c r="AY22"/>
  <c r="AX22"/>
  <c r="AW22"/>
  <c r="AV22"/>
  <c r="AU22"/>
  <c r="AT22"/>
  <c r="AS22"/>
  <c r="AR22"/>
  <c r="AQ22"/>
  <c r="AP22"/>
  <c r="AO22"/>
  <c r="AN22"/>
  <c r="E22"/>
  <c r="D22"/>
  <c r="AY21"/>
  <c r="AX21"/>
  <c r="AW21"/>
  <c r="AV21"/>
  <c r="AU21"/>
  <c r="AT21"/>
  <c r="AS21"/>
  <c r="AR21"/>
  <c r="AQ21"/>
  <c r="AP21"/>
  <c r="AO21"/>
  <c r="AN21"/>
  <c r="E21"/>
  <c r="D21"/>
  <c r="AY20"/>
  <c r="AX20"/>
  <c r="AW20"/>
  <c r="AV20"/>
  <c r="AU20"/>
  <c r="AT20"/>
  <c r="AS20"/>
  <c r="AR20"/>
  <c r="AQ20"/>
  <c r="AP20"/>
  <c r="AO20"/>
  <c r="AN20"/>
  <c r="E20"/>
  <c r="D20"/>
  <c r="AY19"/>
  <c r="AX19"/>
  <c r="AW19"/>
  <c r="AV19"/>
  <c r="AU19"/>
  <c r="AT19"/>
  <c r="AS19"/>
  <c r="AR19"/>
  <c r="AQ19"/>
  <c r="AP19"/>
  <c r="AO19"/>
  <c r="AN19"/>
  <c r="U19"/>
  <c r="M19"/>
  <c r="E19"/>
  <c r="D19"/>
  <c r="AY18"/>
  <c r="AX18"/>
  <c r="AW18"/>
  <c r="AV18"/>
  <c r="AU18"/>
  <c r="AT18"/>
  <c r="AS18"/>
  <c r="AR18"/>
  <c r="AQ18"/>
  <c r="AP18"/>
  <c r="AO18"/>
  <c r="AN18"/>
  <c r="P18"/>
  <c r="M18"/>
  <c r="E18"/>
  <c r="D18"/>
  <c r="AY17"/>
  <c r="AX17"/>
  <c r="AW17"/>
  <c r="AV17"/>
  <c r="AU17"/>
  <c r="AT17"/>
  <c r="AS17"/>
  <c r="AR17"/>
  <c r="AQ17"/>
  <c r="AP17"/>
  <c r="AO17"/>
  <c r="AN17"/>
  <c r="M17"/>
  <c r="E17"/>
  <c r="D17"/>
  <c r="AY16"/>
  <c r="AX16"/>
  <c r="AW16"/>
  <c r="AV16"/>
  <c r="AU16"/>
  <c r="AT16"/>
  <c r="AS16"/>
  <c r="AR16"/>
  <c r="AQ16"/>
  <c r="AP16"/>
  <c r="AO16"/>
  <c r="AN16"/>
  <c r="P16"/>
  <c r="M16"/>
  <c r="E16"/>
  <c r="D16"/>
  <c r="AY15"/>
  <c r="AX15"/>
  <c r="AW15"/>
  <c r="AV15"/>
  <c r="AU15"/>
  <c r="AT15"/>
  <c r="AS15"/>
  <c r="AR15"/>
  <c r="AQ15"/>
  <c r="AP15"/>
  <c r="AO15"/>
  <c r="AN15"/>
  <c r="P15"/>
  <c r="M15"/>
  <c r="E15"/>
  <c r="D15"/>
  <c r="AY14"/>
  <c r="AW14"/>
  <c r="AV14"/>
  <c r="AU14"/>
  <c r="AT14"/>
  <c r="AS14"/>
  <c r="AR14"/>
  <c r="AQ14"/>
  <c r="AP14"/>
  <c r="AO14"/>
  <c r="AN14"/>
  <c r="AK14"/>
  <c r="AX14" s="1"/>
  <c r="E14"/>
  <c r="D14"/>
  <c r="AY13"/>
  <c r="AW13"/>
  <c r="AV13"/>
  <c r="AU13"/>
  <c r="AT13"/>
  <c r="AS13"/>
  <c r="AR13"/>
  <c r="AQ13"/>
  <c r="AP13"/>
  <c r="AO13"/>
  <c r="AN13"/>
  <c r="AK13"/>
  <c r="AX13" s="1"/>
  <c r="W12"/>
  <c r="B143" s="1"/>
  <c r="E13"/>
  <c r="D13"/>
  <c r="T179" l="1"/>
  <c r="W178"/>
  <c r="AR124"/>
  <c r="AE126"/>
  <c r="AR126" s="1"/>
  <c r="M84"/>
  <c r="AT135"/>
  <c r="AP139"/>
  <c r="AP140"/>
  <c r="AX137"/>
  <c r="AP137"/>
  <c r="AX140"/>
  <c r="AR45"/>
  <c r="AT136"/>
  <c r="AP136"/>
  <c r="AX139"/>
  <c r="AU142"/>
  <c r="AO136"/>
  <c r="AT138"/>
  <c r="AT139"/>
  <c r="AP142"/>
  <c r="AP135"/>
  <c r="AX136"/>
  <c r="AT137"/>
  <c r="AP138"/>
  <c r="AT140"/>
  <c r="AO142"/>
  <c r="AT142"/>
  <c r="AR44"/>
  <c r="AS142"/>
  <c r="AY142"/>
  <c r="AX135"/>
  <c r="AX138"/>
  <c r="AQ142"/>
  <c r="AW142"/>
  <c r="L53"/>
  <c r="AN144"/>
  <c r="L59" s="1"/>
  <c r="R120"/>
  <c r="R118"/>
  <c r="V105"/>
  <c r="W104"/>
  <c r="AS44"/>
  <c r="AO135"/>
  <c r="AS135"/>
  <c r="AW135"/>
  <c r="AS136"/>
  <c r="AW136"/>
  <c r="AO137"/>
  <c r="AS137"/>
  <c r="AW137"/>
  <c r="AO138"/>
  <c r="AS138"/>
  <c r="AW138"/>
  <c r="AO139"/>
  <c r="AS139"/>
  <c r="AW139"/>
  <c r="AO140"/>
  <c r="AS140"/>
  <c r="AW140"/>
  <c r="AO141"/>
  <c r="AS141"/>
  <c r="AW141"/>
  <c r="AX142"/>
  <c r="AH45"/>
  <c r="AU45" s="1"/>
  <c r="W103"/>
  <c r="R119"/>
  <c r="AR135"/>
  <c r="AV135"/>
  <c r="O136"/>
  <c r="N136" s="1"/>
  <c r="AR136"/>
  <c r="AV136"/>
  <c r="AR137"/>
  <c r="AV137"/>
  <c r="AR138"/>
  <c r="AV138"/>
  <c r="AR139"/>
  <c r="AV139"/>
  <c r="O140"/>
  <c r="AR140"/>
  <c r="AV140"/>
  <c r="AR141"/>
  <c r="AV141"/>
  <c r="M13"/>
  <c r="AG45"/>
  <c r="AT45" s="1"/>
  <c r="AQ135"/>
  <c r="AU135"/>
  <c r="AQ136"/>
  <c r="AU136"/>
  <c r="AQ137"/>
  <c r="AU137"/>
  <c r="AQ138"/>
  <c r="AU138"/>
  <c r="AQ139"/>
  <c r="AU139"/>
  <c r="AQ140"/>
  <c r="AU140"/>
  <c r="N141"/>
  <c r="M142" s="1"/>
  <c r="AQ141"/>
  <c r="AU141"/>
  <c r="AY141"/>
  <c r="AR142"/>
  <c r="AP141"/>
  <c r="AT141"/>
  <c r="T180" l="1"/>
  <c r="W179"/>
  <c r="AY144"/>
  <c r="V31" s="1"/>
  <c r="L60"/>
  <c r="U164" s="1"/>
  <c r="AX144"/>
  <c r="U31" s="1"/>
  <c r="AO144"/>
  <c r="R27" s="1"/>
  <c r="AP144"/>
  <c r="S27" s="1"/>
  <c r="AU144"/>
  <c r="R31" s="1"/>
  <c r="AV144"/>
  <c r="S31" s="1"/>
  <c r="AT144"/>
  <c r="Q31" s="1"/>
  <c r="AS144"/>
  <c r="V27" s="1"/>
  <c r="O141"/>
  <c r="AQ144"/>
  <c r="T27" s="1"/>
  <c r="AW144"/>
  <c r="T31" s="1"/>
  <c r="AR144"/>
  <c r="U27" s="1"/>
  <c r="V106"/>
  <c r="W105"/>
  <c r="T181" l="1"/>
  <c r="W180"/>
  <c r="L61"/>
  <c r="F8" s="1"/>
  <c r="Q94"/>
  <c r="L72" s="1"/>
  <c r="M65"/>
  <c r="U93"/>
  <c r="N94" s="1"/>
  <c r="V107"/>
  <c r="W106"/>
  <c r="N96" l="1"/>
  <c r="T182"/>
  <c r="W181"/>
  <c r="L63"/>
  <c r="L64" s="1"/>
  <c r="L25"/>
  <c r="Q32"/>
  <c r="Q33" s="1"/>
  <c r="V32"/>
  <c r="V34" s="1"/>
  <c r="L32"/>
  <c r="M63"/>
  <c r="L62"/>
  <c r="U165" s="1"/>
  <c r="V206" s="1"/>
  <c r="R32"/>
  <c r="R33" s="1"/>
  <c r="U32"/>
  <c r="U34" s="1"/>
  <c r="L54"/>
  <c r="M25"/>
  <c r="T32"/>
  <c r="T34" s="1"/>
  <c r="S32"/>
  <c r="S34" s="1"/>
  <c r="L94"/>
  <c r="L96"/>
  <c r="M74"/>
  <c r="M72"/>
  <c r="S94"/>
  <c r="L74"/>
  <c r="V108"/>
  <c r="W107"/>
  <c r="T183" l="1"/>
  <c r="W182"/>
  <c r="V188"/>
  <c r="V166"/>
  <c r="V189"/>
  <c r="V179"/>
  <c r="V186"/>
  <c r="V185"/>
  <c r="V176"/>
  <c r="V182"/>
  <c r="V196"/>
  <c r="V184"/>
  <c r="V190"/>
  <c r="E6"/>
  <c r="E7" s="1"/>
  <c r="F156" s="1"/>
  <c r="F157" s="1"/>
  <c r="E5"/>
  <c r="L85"/>
  <c r="L65"/>
  <c r="L75" s="1"/>
  <c r="Q93"/>
  <c r="L86"/>
  <c r="V207"/>
  <c r="V174"/>
  <c r="V178"/>
  <c r="V198"/>
  <c r="V193"/>
  <c r="T209"/>
  <c r="V175"/>
  <c r="V187"/>
  <c r="V194"/>
  <c r="V204"/>
  <c r="M64"/>
  <c r="V199"/>
  <c r="V171"/>
  <c r="V183"/>
  <c r="V180"/>
  <c r="V202"/>
  <c r="V173"/>
  <c r="V192"/>
  <c r="V195"/>
  <c r="V203"/>
  <c r="V170"/>
  <c r="V177"/>
  <c r="H7"/>
  <c r="V169"/>
  <c r="V172"/>
  <c r="V191"/>
  <c r="V181"/>
  <c r="V205"/>
  <c r="V197"/>
  <c r="V201"/>
  <c r="V200"/>
  <c r="H6"/>
  <c r="V109"/>
  <c r="W108"/>
  <c r="U92" l="1"/>
  <c r="N95" s="1"/>
  <c r="T184"/>
  <c r="W183"/>
  <c r="E156"/>
  <c r="E157" s="1"/>
  <c r="E158" s="1"/>
  <c r="H5"/>
  <c r="L70"/>
  <c r="L73" s="1"/>
  <c r="L87"/>
  <c r="I5" s="1"/>
  <c r="L97"/>
  <c r="M43"/>
  <c r="H8"/>
  <c r="S93"/>
  <c r="M75"/>
  <c r="M70"/>
  <c r="M73" s="1"/>
  <c r="N97"/>
  <c r="W109"/>
  <c r="V110"/>
  <c r="L95" l="1"/>
  <c r="T185"/>
  <c r="W184"/>
  <c r="Q127"/>
  <c r="N91"/>
  <c r="L91"/>
  <c r="V111"/>
  <c r="W110"/>
  <c r="T186" l="1"/>
  <c r="W185"/>
  <c r="V112"/>
  <c r="W111"/>
  <c r="T187" l="1"/>
  <c r="W186"/>
  <c r="V113"/>
  <c r="W112"/>
  <c r="T188" l="1"/>
  <c r="W187"/>
  <c r="V114"/>
  <c r="W113"/>
  <c r="T189" l="1"/>
  <c r="W188"/>
  <c r="V115"/>
  <c r="W114"/>
  <c r="T190" l="1"/>
  <c r="W189"/>
  <c r="W115"/>
  <c r="V116"/>
  <c r="T191" l="1"/>
  <c r="W190"/>
  <c r="W116"/>
  <c r="V117"/>
  <c r="T192" l="1"/>
  <c r="W191"/>
  <c r="V118"/>
  <c r="W117"/>
  <c r="T193" l="1"/>
  <c r="W192"/>
  <c r="W118"/>
  <c r="V119"/>
  <c r="T194" l="1"/>
  <c r="W193"/>
  <c r="W119"/>
  <c r="V120"/>
  <c r="T195" l="1"/>
  <c r="W194"/>
  <c r="V121"/>
  <c r="W120"/>
  <c r="T196" l="1"/>
  <c r="W195"/>
  <c r="V122"/>
  <c r="W121"/>
  <c r="T197" l="1"/>
  <c r="W196"/>
  <c r="V123"/>
  <c r="W122"/>
  <c r="T198" l="1"/>
  <c r="W197"/>
  <c r="V124"/>
  <c r="W123"/>
  <c r="T199" l="1"/>
  <c r="W198"/>
  <c r="V125"/>
  <c r="W124"/>
  <c r="T200" l="1"/>
  <c r="W199"/>
  <c r="W125"/>
  <c r="V126"/>
  <c r="T201" l="1"/>
  <c r="W200"/>
  <c r="V127"/>
  <c r="W127" s="1"/>
  <c r="W126"/>
  <c r="T202" l="1"/>
  <c r="W201"/>
  <c r="T203" l="1"/>
  <c r="W202"/>
  <c r="T204" l="1"/>
  <c r="W203"/>
  <c r="T205" l="1"/>
  <c r="W204"/>
  <c r="T206" l="1"/>
  <c r="W205"/>
  <c r="T207" l="1"/>
  <c r="W207" s="1"/>
  <c r="W206"/>
</calcChain>
</file>

<file path=xl/sharedStrings.xml><?xml version="1.0" encoding="utf-8"?>
<sst xmlns="http://schemas.openxmlformats.org/spreadsheetml/2006/main" count="1676" uniqueCount="996">
  <si>
    <t>Main Contents ̸ Notes:-</t>
  </si>
  <si>
    <t>General Calc's</t>
  </si>
  <si>
    <t>General Converters - volume, weight, temperature etc.</t>
  </si>
  <si>
    <t>OG Correction For Wines etc.</t>
  </si>
  <si>
    <t>UK ̸ US Proof &amp; % Converters Etc.</t>
  </si>
  <si>
    <t>Includes ABV ̸ ABW ̸ Proof Calc's</t>
  </si>
  <si>
    <t>ABV Estimators</t>
  </si>
  <si>
    <t>Hydrometer Temperature Correction</t>
  </si>
  <si>
    <t>°Brix, Plato, Balling &amp; Baumé</t>
  </si>
  <si>
    <t>Priming Sparkling Wines, Ciders, Meads &amp; Beers</t>
  </si>
  <si>
    <t>Safe Drinking Recommendations (UK)</t>
  </si>
  <si>
    <t>Making Wine &amp; Beer In Stages</t>
  </si>
  <si>
    <t>Reduced Alcohol Beers &amp; Wines</t>
  </si>
  <si>
    <t>Some Typical Wine Temperatures.</t>
  </si>
  <si>
    <t>Wine &amp; Cider Calc's</t>
  </si>
  <si>
    <t>Also used for calculating meads etc.</t>
  </si>
  <si>
    <t>Summary for Finished Wine ̸ Cider etc.</t>
  </si>
  <si>
    <t>Some Typical Wine Parameters</t>
  </si>
  <si>
    <t>Calorie ̸ Unit Counter (Un-primed).</t>
  </si>
  <si>
    <t>Priming Ciders &amp; Sparkling Wines</t>
  </si>
  <si>
    <t>Calorie ̸ Unit Counter (After Priming)</t>
  </si>
  <si>
    <t>Sugar Solutions &amp; Weights</t>
  </si>
  <si>
    <t>Some Dried Fruit Equivalents</t>
  </si>
  <si>
    <t>Fortifying Wines</t>
  </si>
  <si>
    <t>ABV for FINISHED, DRY wines/ciders only.</t>
  </si>
  <si>
    <t>Recipe Scaling</t>
  </si>
  <si>
    <t>TCP Taste ̸ Aroma</t>
  </si>
  <si>
    <t>F.G. &amp; ABV Predictor</t>
  </si>
  <si>
    <t>James' Acid Calculator</t>
  </si>
  <si>
    <t>For adjusting the acidity of a wine must following titration.</t>
  </si>
  <si>
    <t>Cocktail Unit Calculator</t>
  </si>
  <si>
    <t xml:space="preserve">Just add the components to get the units, calories &amp; "carbs" of your cocktails - including non-alcoholic drinks.  </t>
  </si>
  <si>
    <t>Jam Calculator</t>
  </si>
  <si>
    <t>As it says on the jar!</t>
  </si>
  <si>
    <t>NOTE:- These calculators use pre-set data which may be changed.</t>
  </si>
  <si>
    <t>Copyright Peter J. Laycock 28~10~'8</t>
  </si>
  <si>
    <t>www.PetesPintPot.co.uk</t>
  </si>
  <si>
    <t xml:space="preserve">Disclaimer: </t>
  </si>
  <si>
    <t>Additional help supplied by James at</t>
  </si>
  <si>
    <t>jamesbsmith@hotmail.com</t>
  </si>
  <si>
    <t>Additional help supplied by David at</t>
  </si>
  <si>
    <t>david.barrow@live.co.uk</t>
  </si>
  <si>
    <t>Check for the latest version on</t>
  </si>
  <si>
    <t>www.yobrew.co.uk</t>
  </si>
  <si>
    <t>General Converters</t>
  </si>
  <si>
    <t>Volume Converters</t>
  </si>
  <si>
    <t>Litre</t>
  </si>
  <si>
    <t>5 US gallons ≈ 18.9 litres</t>
  </si>
  <si>
    <t>1 UK pint = 20 fl oz ≈ 568ml</t>
  </si>
  <si>
    <t>1 UK ̸ Euro. litre = 1 US liter</t>
  </si>
  <si>
    <t>Weight Converters</t>
  </si>
  <si>
    <t>g</t>
  </si>
  <si>
    <t>Wt.</t>
  </si>
  <si>
    <t>lb</t>
  </si>
  <si>
    <t>Wt. g</t>
  </si>
  <si>
    <t>1Kg ≈ 0.4536 lb</t>
  </si>
  <si>
    <t>Kg</t>
  </si>
  <si>
    <t>oz</t>
  </si>
  <si>
    <t>lb.</t>
  </si>
  <si>
    <t>lb oz</t>
  </si>
  <si>
    <t>lb  oz</t>
  </si>
  <si>
    <t>Weight &amp; Volume Converters</t>
  </si>
  <si>
    <t>Vol. 1</t>
  </si>
  <si>
    <t xml:space="preserve">Wt. 1 </t>
  </si>
  <si>
    <t>Vol. 2</t>
  </si>
  <si>
    <t>Wt. 2</t>
  </si>
  <si>
    <t>Wt. ̸ Vol. Conversion</t>
  </si>
  <si>
    <t>Kg ̸ litre</t>
  </si>
  <si>
    <t>Wt. ̸ Vol.</t>
  </si>
  <si>
    <t>g ̸ litre</t>
  </si>
  <si>
    <t>ml</t>
  </si>
  <si>
    <t>Fluid</t>
  </si>
  <si>
    <t>Wt. ̸ Vol</t>
  </si>
  <si>
    <t>fl oz</t>
  </si>
  <si>
    <t>OG Correction For Wines/Beers etc.</t>
  </si>
  <si>
    <t>Present OG</t>
  </si>
  <si>
    <t>OG required</t>
  </si>
  <si>
    <t>Present Vol. (litres)</t>
  </si>
  <si>
    <t>Topping Up Vol. (litres)</t>
  </si>
  <si>
    <t>New Vol. (litres)</t>
  </si>
  <si>
    <t>The "Present OG" must be equal to or higher than the "OG required"</t>
  </si>
  <si>
    <t>All gravites are assumed to be at room temp. or compensated for.</t>
  </si>
  <si>
    <t>SG ̸ Vol. Converter</t>
  </si>
  <si>
    <t xml:space="preserve">For an SG of </t>
  </si>
  <si>
    <t>&amp; an initial volume of</t>
  </si>
  <si>
    <t>litres when DILUTED.</t>
  </si>
  <si>
    <t xml:space="preserve">Temperature Converter </t>
  </si>
  <si>
    <t>°C</t>
  </si>
  <si>
    <t>Deg</t>
  </si>
  <si>
    <t>% ABV</t>
  </si>
  <si>
    <t>% ABW</t>
  </si>
  <si>
    <t>Proof</t>
  </si>
  <si>
    <t>ABV ̸ Proof converter</t>
  </si>
  <si>
    <t>ABW ̸ Proof converter</t>
  </si>
  <si>
    <t>(Note: these calc's are approx.)</t>
  </si>
  <si>
    <t>Original Gravity</t>
  </si>
  <si>
    <t>Final Gravity</t>
  </si>
  <si>
    <t>Calibration Temp.</t>
  </si>
  <si>
    <t>% ABV (approx.)</t>
  </si>
  <si>
    <t>Wort ̸ Must  Temp.</t>
  </si>
  <si>
    <t>OG</t>
  </si>
  <si>
    <t>FG</t>
  </si>
  <si>
    <t>Measured Gravity</t>
  </si>
  <si>
    <t>Corrected Gravity</t>
  </si>
  <si>
    <t>ABV (approx.)</t>
  </si>
  <si>
    <t>OR</t>
  </si>
  <si>
    <t>using the simpler "brewers degrees"</t>
  </si>
  <si>
    <t>This is mainly used for beers.</t>
  </si>
  <si>
    <t>SG</t>
  </si>
  <si>
    <t xml:space="preserve">Temperatures of around 20°C are assumed. </t>
  </si>
  <si>
    <t>Refractometer Calibration</t>
  </si>
  <si>
    <t>Calibrated Hydrometer Reading</t>
  </si>
  <si>
    <t>Refractometer Reading (°Brix)</t>
  </si>
  <si>
    <t>Priming Sparkling Wines, Ciders, Meads &amp; Beers &amp; Their Associated Pressures</t>
  </si>
  <si>
    <t>k</t>
  </si>
  <si>
    <t>Vol.</t>
  </si>
  <si>
    <t>Brew ̸ resting temp.</t>
  </si>
  <si>
    <t>Sugar added to</t>
  </si>
  <si>
    <t>Pressure</t>
  </si>
  <si>
    <t>Where 1 level 5ml tsp sugar =</t>
  </si>
  <si>
    <t>CO2</t>
  </si>
  <si>
    <t>(Approx.)</t>
  </si>
  <si>
    <t>Sugar weight ̸ vol.</t>
  </si>
  <si>
    <t>Unit</t>
  </si>
  <si>
    <t>tsp</t>
  </si>
  <si>
    <t>A max. temp. of 30°C</t>
  </si>
  <si>
    <t xml:space="preserve"> is catered for.</t>
  </si>
  <si>
    <t>Alternatively</t>
  </si>
  <si>
    <t>For a temperature of</t>
  </si>
  <si>
    <t>level 5ml tsp ̸ litre.</t>
  </si>
  <si>
    <t>OR, for a</t>
  </si>
  <si>
    <t>Length ̸ Height Conversions</t>
  </si>
  <si>
    <t>METRIC</t>
  </si>
  <si>
    <t>IMPERIAL</t>
  </si>
  <si>
    <t>ft.</t>
  </si>
  <si>
    <t>in.</t>
  </si>
  <si>
    <t>in. only</t>
  </si>
  <si>
    <t>cm</t>
  </si>
  <si>
    <t>Height</t>
  </si>
  <si>
    <t>in</t>
  </si>
  <si>
    <t>Waist measurement</t>
  </si>
  <si>
    <t>Weight</t>
  </si>
  <si>
    <t>st</t>
  </si>
  <si>
    <t xml:space="preserve">  ft.   in.    </t>
  </si>
  <si>
    <t>Ratio (Women)</t>
  </si>
  <si>
    <t xml:space="preserve">BMI (Body Mass Index)  = </t>
  </si>
  <si>
    <t>Ratio (Men)</t>
  </si>
  <si>
    <t xml:space="preserve">Less than 20 </t>
  </si>
  <si>
    <t>Underweight</t>
  </si>
  <si>
    <t>Waist to Height Ratio</t>
  </si>
  <si>
    <t>Between 20-25</t>
  </si>
  <si>
    <t>Normal</t>
  </si>
  <si>
    <t>Between 25-30</t>
  </si>
  <si>
    <t>Overweight</t>
  </si>
  <si>
    <t>&lt;35</t>
  </si>
  <si>
    <t>Abnormally thin</t>
  </si>
  <si>
    <t>Over 30</t>
  </si>
  <si>
    <t>Obese</t>
  </si>
  <si>
    <t>35-42</t>
  </si>
  <si>
    <t>Extremely thin</t>
  </si>
  <si>
    <t>35-43</t>
  </si>
  <si>
    <r>
      <t>WARNING!</t>
    </r>
    <r>
      <rPr>
        <sz val="10"/>
        <color rgb="FF000000"/>
        <rFont val="Arial"/>
        <family val="2"/>
      </rPr>
      <t xml:space="preserve">  </t>
    </r>
    <r>
      <rPr>
        <sz val="10"/>
        <color rgb="FF000000"/>
        <rFont val="Arial"/>
        <family val="2"/>
      </rPr>
      <t>Do not use this if you are of a sensitive nature.</t>
    </r>
  </si>
  <si>
    <t>42-45</t>
  </si>
  <si>
    <t>Slender &amp; healthy</t>
  </si>
  <si>
    <t>43-46</t>
  </si>
  <si>
    <t>45-49</t>
  </si>
  <si>
    <t>Healthy</t>
  </si>
  <si>
    <t>46-53</t>
  </si>
  <si>
    <t>NOTE:-</t>
  </si>
  <si>
    <t>49-54</t>
  </si>
  <si>
    <t>53-58</t>
  </si>
  <si>
    <t>The "BMI" &amp; the "Waist to Height Ratio" calculators are not to the same scale &amp; therefore not comparable.</t>
  </si>
  <si>
    <t>54-58</t>
  </si>
  <si>
    <t>Seriously overweight</t>
  </si>
  <si>
    <t>58-63</t>
  </si>
  <si>
    <t>&gt;58</t>
  </si>
  <si>
    <t>Morbidly obese</t>
  </si>
  <si>
    <t>&gt;63</t>
  </si>
  <si>
    <t>ALWAYS WORK ON A COPY OF THIS SPREADSHEET</t>
  </si>
  <si>
    <t xml:space="preserve">Alternatively, your waist to height ratio should not generally exceed about 50%. </t>
  </si>
  <si>
    <t>1 unit alcohol =</t>
  </si>
  <si>
    <t>Note:- 1 unit in these Calc's =</t>
  </si>
  <si>
    <t>ml alcohol</t>
  </si>
  <si>
    <t>Country</t>
  </si>
  <si>
    <t xml:space="preserve">ml      OR      g  </t>
  </si>
  <si>
    <t>Bottle ̸ glass size</t>
  </si>
  <si>
    <t>No. of bottles ̸ glasses</t>
  </si>
  <si>
    <t>Units</t>
  </si>
  <si>
    <t>Australia</t>
  </si>
  <si>
    <t>Austria</t>
  </si>
  <si>
    <t>Canada</t>
  </si>
  <si>
    <t>Denmark</t>
  </si>
  <si>
    <t>Finland</t>
  </si>
  <si>
    <t>France</t>
  </si>
  <si>
    <t>Hungary</t>
  </si>
  <si>
    <t>Iceland</t>
  </si>
  <si>
    <t>Ireland (Eire)</t>
  </si>
  <si>
    <t>Italy</t>
  </si>
  <si>
    <t>Japan</t>
  </si>
  <si>
    <t>Netherlands</t>
  </si>
  <si>
    <t>New Zealand</t>
  </si>
  <si>
    <t>Poland</t>
  </si>
  <si>
    <t>Approx. Freezing Point</t>
  </si>
  <si>
    <t>Portugal</t>
  </si>
  <si>
    <t>Spain</t>
  </si>
  <si>
    <t>UK</t>
  </si>
  <si>
    <t>USA</t>
  </si>
  <si>
    <t>Other 3</t>
  </si>
  <si>
    <t>Wine &amp; Beer Sugar Stages</t>
  </si>
  <si>
    <t>For use when sugars etc. are added at different stages or times.</t>
  </si>
  <si>
    <t>Other 2</t>
  </si>
  <si>
    <t>Initial gravity (stage 1)</t>
  </si>
  <si>
    <t>What???</t>
  </si>
  <si>
    <t>Effective O. G.</t>
  </si>
  <si>
    <t xml:space="preserve">Other 1 </t>
  </si>
  <si>
    <t>Measured gravity (stage 2)</t>
  </si>
  <si>
    <t>Amended gravity</t>
  </si>
  <si>
    <t>End gravity</t>
  </si>
  <si>
    <r>
      <t xml:space="preserve">    </t>
    </r>
    <r>
      <rPr>
        <sz val="10"/>
        <rFont val="Arial"/>
        <family val="2"/>
      </rPr>
      <t xml:space="preserve"> (789.4  Nom.)</t>
    </r>
  </si>
  <si>
    <t>Measured gravity (stage 3)</t>
  </si>
  <si>
    <t>% ABV (exc. primer)</t>
  </si>
  <si>
    <t>Final measured gravity</t>
  </si>
  <si>
    <t>Hydrometer readings errors of ± 1 can lead to errors of over 0.3% ABV.</t>
  </si>
  <si>
    <t>When using this calculator, it is vital to take gravity readings before &amp; after the sugars, syrups &amp; malts etc. have been mixed in.</t>
  </si>
  <si>
    <t xml:space="preserve">Leave "non-entries" blank or "0". </t>
  </si>
  <si>
    <t>Name</t>
  </si>
  <si>
    <t>Vol. 3</t>
  </si>
  <si>
    <t>SUMMARY</t>
  </si>
  <si>
    <t>Pre-heat</t>
  </si>
  <si>
    <t>Post-heat</t>
  </si>
  <si>
    <t>Original Vol. (after racking)</t>
  </si>
  <si>
    <t>litres</t>
  </si>
  <si>
    <t>vol. used inc. any top-up water</t>
  </si>
  <si>
    <t>"New" Vol.</t>
  </si>
  <si>
    <t>litres (Vol. 1 + Vol. 3)</t>
  </si>
  <si>
    <t>"New" S. G.</t>
  </si>
  <si>
    <t>approx.</t>
  </si>
  <si>
    <t>calc.</t>
  </si>
  <si>
    <t>Priming sugar added</t>
  </si>
  <si>
    <t>% assumed (0 nominally)</t>
  </si>
  <si>
    <t>"New" brew % ABV</t>
  </si>
  <si>
    <t>Note:- Reducing any sugar in the recipe would be the much better option, but not the primer.</t>
  </si>
  <si>
    <t>Notes</t>
  </si>
  <si>
    <t>Standard Room Temperature</t>
  </si>
  <si>
    <t>Storage (Cellar) Temperature</t>
  </si>
  <si>
    <t xml:space="preserve">Full Bodied Red Wines  </t>
  </si>
  <si>
    <t>Medium Bodied Red Wines</t>
  </si>
  <si>
    <t>Red Sparkling Wines</t>
  </si>
  <si>
    <t>Rosé Light Bodied Red Wines</t>
  </si>
  <si>
    <t>in = cm</t>
  </si>
  <si>
    <t>Rosé Sparkling Wines</t>
  </si>
  <si>
    <t>lb = Kg</t>
  </si>
  <si>
    <t>Full Bodied White Wines</t>
  </si>
  <si>
    <t>Medium Bodied White Wines</t>
  </si>
  <si>
    <t xml:space="preserve">Full Bodied Dessert Wines </t>
  </si>
  <si>
    <t>Light Bodied Dry White Wines</t>
  </si>
  <si>
    <t>White Sparkling Wines</t>
  </si>
  <si>
    <t>Light Bodied Dessert Wines</t>
  </si>
  <si>
    <t>Proper Ciders</t>
  </si>
  <si>
    <t>Most Commercial Ciders</t>
  </si>
  <si>
    <t>V. Cold</t>
  </si>
  <si>
    <t>Free to use - Not for sale.</t>
  </si>
  <si>
    <t>HIDE</t>
  </si>
  <si>
    <t>h</t>
  </si>
  <si>
    <t xml:space="preserve">WINE TYPE </t>
  </si>
  <si>
    <t>DRY WHITE</t>
  </si>
  <si>
    <t>DRY RED</t>
  </si>
  <si>
    <t>ROSÉ</t>
  </si>
  <si>
    <t xml:space="preserve">SWEET WHITE </t>
  </si>
  <si>
    <t xml:space="preserve">SWEET RED </t>
  </si>
  <si>
    <t>DESSERT</t>
  </si>
  <si>
    <t>SUMMARY FOR THE FINISHED WINE ̸ CIDER ETC.</t>
  </si>
  <si>
    <t xml:space="preserve"> Name:- </t>
  </si>
  <si>
    <t>EDITABLE CELL. Insert your own quantities ̸ data.</t>
  </si>
  <si>
    <t xml:space="preserve"> (FRUIT)</t>
  </si>
  <si>
    <t xml:space="preserve">(PORT) </t>
  </si>
  <si>
    <t>O.G.</t>
  </si>
  <si>
    <t>ALCOHOL</t>
  </si>
  <si>
    <t>EDITABLE CELL. No information available, value has been "guesstimated".</t>
  </si>
  <si>
    <t>% ALC ABV</t>
  </si>
  <si>
    <t xml:space="preserve">10-13 </t>
  </si>
  <si>
    <t>11-13</t>
  </si>
  <si>
    <t>11-12</t>
  </si>
  <si>
    <t xml:space="preserve">12-15 </t>
  </si>
  <si>
    <t>13-18</t>
  </si>
  <si>
    <t>17-20</t>
  </si>
  <si>
    <t>Many good wines could possibly not fit within these limits, but beware of any recipes displaying vast differences.</t>
  </si>
  <si>
    <t>F.G. (Before sweetening)</t>
  </si>
  <si>
    <t>ACIDITY</t>
  </si>
  <si>
    <t>% (expressed in terms of the tartaric equivalent)</t>
  </si>
  <si>
    <t>NON-EDITABLE. Giving alternative ingredients that may be used.</t>
  </si>
  <si>
    <t xml:space="preserve">% ACID </t>
  </si>
  <si>
    <t>0.50-0.70</t>
  </si>
  <si>
    <t>0.50-0.65</t>
  </si>
  <si>
    <t>0.60-0.75</t>
  </si>
  <si>
    <t>0.50-0.75</t>
  </si>
  <si>
    <t>0.40-0.65</t>
  </si>
  <si>
    <t>0.55-0.65</t>
  </si>
  <si>
    <t>0.40-0.50</t>
  </si>
  <si>
    <t>F.G. (After sweetening)</t>
  </si>
  <si>
    <t>TANNIN</t>
  </si>
  <si>
    <t>%</t>
  </si>
  <si>
    <r>
      <t xml:space="preserve">NON-EDITABLE. The cell value </t>
    </r>
    <r>
      <rPr>
        <b/>
        <sz val="10"/>
        <color rgb="FFFFCC99"/>
        <rFont val="Arial"/>
        <family val="2"/>
      </rPr>
      <t>MAY be low</t>
    </r>
    <r>
      <rPr>
        <sz val="10"/>
        <rFont val="Arial"/>
        <family val="2"/>
      </rPr>
      <t xml:space="preserve"> (for wines).</t>
    </r>
  </si>
  <si>
    <t>% TANNIN</t>
  </si>
  <si>
    <t xml:space="preserve">&lt;0.04 </t>
  </si>
  <si>
    <t xml:space="preserve">0.09-0.3 </t>
  </si>
  <si>
    <t xml:space="preserve">0.04-0.09 </t>
  </si>
  <si>
    <t>0.15-0.3</t>
  </si>
  <si>
    <t>0.2-0.3</t>
  </si>
  <si>
    <t>Final ̸effective starting Volume</t>
  </si>
  <si>
    <t>STYLE</t>
  </si>
  <si>
    <r>
      <t xml:space="preserve">NON-EDITABLE. The cell value </t>
    </r>
    <r>
      <rPr>
        <b/>
        <sz val="10"/>
        <color rgb="FFFF9900"/>
        <rFont val="Arial"/>
        <family val="2"/>
      </rPr>
      <t>MAY be high</t>
    </r>
    <r>
      <rPr>
        <sz val="10"/>
        <rFont val="Arial"/>
        <family val="2"/>
      </rPr>
      <t xml:space="preserve"> (for wines).</t>
    </r>
  </si>
  <si>
    <t>Dry</t>
  </si>
  <si>
    <t>Med. Dry</t>
  </si>
  <si>
    <t>Med.</t>
  </si>
  <si>
    <t xml:space="preserve">Med. Sweet </t>
  </si>
  <si>
    <t>Sweet</t>
  </si>
  <si>
    <t>Dessert</t>
  </si>
  <si>
    <t>Waste</t>
  </si>
  <si>
    <t>Sugar</t>
  </si>
  <si>
    <t>Acid</t>
  </si>
  <si>
    <t>Tannin</t>
  </si>
  <si>
    <t>"Carbs"</t>
  </si>
  <si>
    <t>Pectin</t>
  </si>
  <si>
    <t>N</t>
  </si>
  <si>
    <t>K</t>
  </si>
  <si>
    <t>B1</t>
  </si>
  <si>
    <t>B3</t>
  </si>
  <si>
    <t>B5</t>
  </si>
  <si>
    <t>B6</t>
  </si>
  <si>
    <r>
      <t xml:space="preserve">NON-EDITABLE. The cell value </t>
    </r>
    <r>
      <rPr>
        <b/>
        <sz val="10"/>
        <color rgb="FFFF0000"/>
        <rFont val="Arial"/>
        <family val="2"/>
      </rPr>
      <t>MAY be too high</t>
    </r>
    <r>
      <rPr>
        <sz val="10"/>
        <rFont val="Arial"/>
        <family val="2"/>
      </rPr>
      <t>.</t>
    </r>
  </si>
  <si>
    <t>Ingredient:</t>
  </si>
  <si>
    <t>Mineral ̸ Vit. Mg ̸ 100g</t>
  </si>
  <si>
    <t>Main Acid</t>
  </si>
  <si>
    <t>(Expressed as the equivalent amount of tartaric acid.)</t>
  </si>
  <si>
    <t>N (nit)</t>
  </si>
  <si>
    <t>K (pot)</t>
  </si>
  <si>
    <t>Primary Ferment (Days)</t>
  </si>
  <si>
    <t xml:space="preserve">Mat. Time </t>
  </si>
  <si>
    <t>Assumed Waste</t>
  </si>
  <si>
    <t>FRUIT</t>
  </si>
  <si>
    <t>OTHER ADDED INGREDIENTS</t>
  </si>
  <si>
    <r>
      <t xml:space="preserve">FRUIT - </t>
    </r>
    <r>
      <rPr>
        <u/>
        <sz val="10"/>
        <color rgb="FF969696"/>
        <rFont val="Arial"/>
        <family val="2"/>
      </rPr>
      <t>These grey figures are used in the calculations &amp; are editable</t>
    </r>
  </si>
  <si>
    <t>Note, all calculations are approx.</t>
  </si>
  <si>
    <t>The main "B" Vitamins</t>
  </si>
  <si>
    <t>SUGAR</t>
  </si>
  <si>
    <t>(nom. 1300)</t>
  </si>
  <si>
    <t>APPLE</t>
  </si>
  <si>
    <t>EATING</t>
  </si>
  <si>
    <t>M</t>
  </si>
  <si>
    <t>Thiamine</t>
  </si>
  <si>
    <t>ACID REDUCING AGENT (approx.)</t>
  </si>
  <si>
    <t xml:space="preserve">      "</t>
  </si>
  <si>
    <t>COOKING</t>
  </si>
  <si>
    <t>B2</t>
  </si>
  <si>
    <t>Riboflavin</t>
  </si>
  <si>
    <t>ACID (approx.)</t>
  </si>
  <si>
    <t>CRAB</t>
  </si>
  <si>
    <t>Niacin</t>
  </si>
  <si>
    <t>APRICOT</t>
  </si>
  <si>
    <t>FLESH</t>
  </si>
  <si>
    <t>Pantothenic acid</t>
  </si>
  <si>
    <t>But just how big &amp; how juicy is a lemon?</t>
  </si>
  <si>
    <t xml:space="preserve">        "</t>
  </si>
  <si>
    <t>DRIED</t>
  </si>
  <si>
    <t>Pyridoxine ̸ pyridoxal ̸ pyridoxamine</t>
  </si>
  <si>
    <t>N ̸ A</t>
  </si>
  <si>
    <t>TANNIN (approx.)</t>
  </si>
  <si>
    <t>B7</t>
  </si>
  <si>
    <t>Biotin</t>
  </si>
  <si>
    <t>g tea OR  ≈</t>
  </si>
  <si>
    <t>level tsp</t>
  </si>
  <si>
    <t xml:space="preserve">       "</t>
  </si>
  <si>
    <t>B9</t>
  </si>
  <si>
    <t>Folic acid</t>
  </si>
  <si>
    <t>BILBERRY</t>
  </si>
  <si>
    <t>-</t>
  </si>
  <si>
    <t>C</t>
  </si>
  <si>
    <t>B12</t>
  </si>
  <si>
    <t>Cyanocobalamin</t>
  </si>
  <si>
    <t xml:space="preserve">Tea tannin is not the same as grape tannin, neither is most shop-bought tannins as they are made, apparently, from re-cycling chestnut ̸ oak trees etc. Teas typically contain 6-14% tannin. </t>
  </si>
  <si>
    <t>BLACKBERRY</t>
  </si>
  <si>
    <t>C/M</t>
  </si>
  <si>
    <t>BLACKCURRANT</t>
  </si>
  <si>
    <t>BLUEBERRY</t>
  </si>
  <si>
    <t>CHERRY + pits</t>
  </si>
  <si>
    <r>
      <t xml:space="preserve">PECTIC ENZYME REQUIRED </t>
    </r>
    <r>
      <rPr>
        <sz val="10"/>
        <color rgb="FFFF0000"/>
        <rFont val="Arial"/>
        <family val="2"/>
      </rPr>
      <t>(min.)</t>
    </r>
  </si>
  <si>
    <t>Approximate Must Totals (g)</t>
  </si>
  <si>
    <t xml:space="preserve">            "</t>
  </si>
  <si>
    <t xml:space="preserve">SOUR </t>
  </si>
  <si>
    <r>
      <t>BENTONITE</t>
    </r>
    <r>
      <rPr>
        <sz val="10"/>
        <color rgb="FFFF0000"/>
        <rFont val="Arial"/>
        <family val="2"/>
      </rPr>
      <t xml:space="preserve"> (optional)</t>
    </r>
  </si>
  <si>
    <t>Sugars</t>
  </si>
  <si>
    <t>CRANBERRY</t>
  </si>
  <si>
    <t>DAMSON</t>
  </si>
  <si>
    <t>DATE</t>
  </si>
  <si>
    <t>ELDERBERRY</t>
  </si>
  <si>
    <t>Nutrient &amp; Vitamin Section (mg)</t>
  </si>
  <si>
    <t>JUICE</t>
  </si>
  <si>
    <t>Total nutrient &amp; vitamin supplied by the "ingredients"</t>
  </si>
  <si>
    <t>FIGS</t>
  </si>
  <si>
    <t xml:space="preserve">   "</t>
  </si>
  <si>
    <t>GOOSEBERRY</t>
  </si>
  <si>
    <t>tablet(s) vit. B complex give(s) a total of</t>
  </si>
  <si>
    <t xml:space="preserve">             "</t>
  </si>
  <si>
    <t>hide</t>
  </si>
  <si>
    <t xml:space="preserve">must requirements/litre </t>
  </si>
  <si>
    <t>Hide</t>
  </si>
  <si>
    <t>mg/l N</t>
  </si>
  <si>
    <t>mg/l P</t>
  </si>
  <si>
    <t>mg/tab</t>
  </si>
  <si>
    <t>(Assume 1 level 5ml tsp nutrient &amp; 1 vit. B tablet ≈ 1 rounded tsp "Energiser")</t>
  </si>
  <si>
    <r>
      <t xml:space="preserve">Any </t>
    </r>
    <r>
      <rPr>
        <b/>
        <sz val="10"/>
        <color rgb="FFFF0000"/>
        <rFont val="Arial"/>
        <family val="2"/>
      </rPr>
      <t>RED</t>
    </r>
    <r>
      <rPr>
        <sz val="10"/>
        <rFont val="Arial"/>
        <family val="2"/>
      </rPr>
      <t xml:space="preserve"> figures denote deficiencies</t>
    </r>
  </si>
  <si>
    <t>GRAPE</t>
  </si>
  <si>
    <t>NO SKIN</t>
  </si>
  <si>
    <t>T</t>
  </si>
  <si>
    <r>
      <t xml:space="preserve">GRAPE JUICE  </t>
    </r>
    <r>
      <rPr>
        <sz val="10"/>
        <color rgb="FFFF0000"/>
        <rFont val="Arial"/>
        <family val="2"/>
      </rPr>
      <t>ml</t>
    </r>
  </si>
  <si>
    <t>WHITE</t>
  </si>
  <si>
    <t>ADDING SWEETENING SUGAR</t>
  </si>
  <si>
    <t xml:space="preserve">                 "         ml</t>
  </si>
  <si>
    <t>RED</t>
  </si>
  <si>
    <t>FOR STILL WINES &amp; CIDERS ONLY, ADD SUGAR SOLN. AFTER STABILIZATION. Always use potassium sorbate before adding any sweetening sugar unless "sugar feeding".</t>
  </si>
  <si>
    <r>
      <t xml:space="preserve">GRAPE CONC. </t>
    </r>
    <r>
      <rPr>
        <sz val="10"/>
        <color rgb="FFFF0000"/>
        <rFont val="Arial"/>
        <family val="2"/>
      </rPr>
      <t xml:space="preserve">g </t>
    </r>
  </si>
  <si>
    <t>Sweetening sugar to be used</t>
  </si>
  <si>
    <r>
      <t xml:space="preserve">               "           </t>
    </r>
    <r>
      <rPr>
        <sz val="10"/>
        <color rgb="FFFF0000"/>
        <rFont val="Arial"/>
        <family val="2"/>
      </rPr>
      <t xml:space="preserve">g </t>
    </r>
  </si>
  <si>
    <t xml:space="preserve">               "           ml</t>
  </si>
  <si>
    <t>Style ̸ Approx. commercial equiv.</t>
  </si>
  <si>
    <t>Dry ̸ 1</t>
  </si>
  <si>
    <t>Medium Dry ̸ 2</t>
  </si>
  <si>
    <t>Medium ̸ 3</t>
  </si>
  <si>
    <t>Medium Sweet ̸ 4</t>
  </si>
  <si>
    <t>Sweet ̸ 5</t>
  </si>
  <si>
    <t>Desert ̸ 6</t>
  </si>
  <si>
    <t>&lt;998</t>
  </si>
  <si>
    <t>998-1005</t>
  </si>
  <si>
    <t>1005-1010</t>
  </si>
  <si>
    <t>1010-1015</t>
  </si>
  <si>
    <t>1015-1020</t>
  </si>
  <si>
    <t>1020+</t>
  </si>
  <si>
    <t>GRAPEFRUIT</t>
  </si>
  <si>
    <t xml:space="preserve">Approx sweetening sugar </t>
  </si>
  <si>
    <t>0-8.3</t>
  </si>
  <si>
    <t>8.3-22</t>
  </si>
  <si>
    <t>22-33</t>
  </si>
  <si>
    <t>33-43</t>
  </si>
  <si>
    <t>43-52</t>
  </si>
  <si>
    <t>52+</t>
  </si>
  <si>
    <t>GREENGAGE</t>
  </si>
  <si>
    <t>GUAVA</t>
  </si>
  <si>
    <t>HONEY (1 lb = 454g)</t>
  </si>
  <si>
    <t>TOPPING-UP WATER STATUS</t>
  </si>
  <si>
    <t>KIWIFRUIT</t>
  </si>
  <si>
    <t xml:space="preserve">Approx. ingredient vol. </t>
  </si>
  <si>
    <t>litres (exc. "topping-up" water)</t>
  </si>
  <si>
    <t>LITCHI (LYCHEE)</t>
  </si>
  <si>
    <t xml:space="preserve">Calculated "topping-up" water </t>
  </si>
  <si>
    <t>litres, when adding water to a recipe, always err on the side caution as you can add more later if required. The converse is rather more difficult to do!</t>
  </si>
  <si>
    <t>LOGANBERRY</t>
  </si>
  <si>
    <t>MANGO</t>
  </si>
  <si>
    <t>MEDLAR</t>
  </si>
  <si>
    <t xml:space="preserve">FINAL BOTTLED VOLUME </t>
  </si>
  <si>
    <t>MELON</t>
  </si>
  <si>
    <t>Assume a "wastage" vol. of</t>
  </si>
  <si>
    <t>MULBERRY</t>
  </si>
  <si>
    <t>Assume ingredient "wastage" vol. of</t>
  </si>
  <si>
    <t>NECTARINE</t>
  </si>
  <si>
    <t>Giving a design must volume of</t>
  </si>
  <si>
    <t>litres excl. any sweetening sugar</t>
  </si>
  <si>
    <t>ORANGE</t>
  </si>
  <si>
    <t>ACTUAL MUST VOLUME USED</t>
  </si>
  <si>
    <r>
      <t xml:space="preserve">litres (actual vol. </t>
    </r>
    <r>
      <rPr>
        <u/>
        <sz val="10"/>
        <rFont val="Arial"/>
        <family val="2"/>
      </rPr>
      <t xml:space="preserve">used </t>
    </r>
    <r>
      <rPr>
        <sz val="10"/>
        <rFont val="Arial"/>
        <family val="2"/>
      </rPr>
      <t>- allows for losses &amp; sweetening sugar when added to finished wine).</t>
    </r>
  </si>
  <si>
    <t>SG (ave)</t>
  </si>
  <si>
    <t xml:space="preserve">Cals/g </t>
  </si>
  <si>
    <t xml:space="preserve">Carbs/g </t>
  </si>
  <si>
    <t>litres after fermentation &amp; racking.</t>
  </si>
  <si>
    <t>OTHER</t>
  </si>
  <si>
    <t>ACTUAL MUST O.G.</t>
  </si>
  <si>
    <t>ACTUAL MUST F.G.</t>
  </si>
  <si>
    <t>/ ml</t>
  </si>
  <si>
    <t>PAPAYA (Pawpaw)</t>
  </si>
  <si>
    <t>ACTUAL MUST % ABV</t>
  </si>
  <si>
    <t>PASSION FRUIT</t>
  </si>
  <si>
    <t>PEACH</t>
  </si>
  <si>
    <t>CALORIE ̸ UNIT COUNTER (Un-primed)</t>
  </si>
  <si>
    <t>UK pints</t>
  </si>
  <si>
    <t>Litres</t>
  </si>
  <si>
    <t>US pints</t>
  </si>
  <si>
    <t>PEAR</t>
  </si>
  <si>
    <t>For a bottle ̸ glass size of</t>
  </si>
  <si>
    <r>
      <t>ml.</t>
    </r>
    <r>
      <rPr>
        <sz val="10"/>
        <color rgb="FFFF0000"/>
        <rFont val="Arial"/>
        <family val="2"/>
      </rPr>
      <t xml:space="preserve"> (Mainly for diabetes suffers. All figures are approximate.)</t>
    </r>
  </si>
  <si>
    <t>PERSIMMON (Sharon fruit)</t>
  </si>
  <si>
    <t>Calories from the alcohol</t>
  </si>
  <si>
    <t>PINEAPPLE</t>
  </si>
  <si>
    <t>Calories from the sweetening sugar</t>
  </si>
  <si>
    <t>PLUM</t>
  </si>
  <si>
    <t>Cals from the residual sugars</t>
  </si>
  <si>
    <t xml:space="preserve">     "</t>
  </si>
  <si>
    <t>Total calories</t>
  </si>
  <si>
    <t>PRUNES</t>
  </si>
  <si>
    <t>Carbohydrates</t>
  </si>
  <si>
    <t>QUINCE</t>
  </si>
  <si>
    <t>Units of alcohol (UK)</t>
  </si>
  <si>
    <t>RAISINS ̸ SULTANAS ̸ CURRANTS</t>
  </si>
  <si>
    <t>RASPBERRY</t>
  </si>
  <si>
    <t>REDCURRANT</t>
  </si>
  <si>
    <t>PRIMING CIDERS &amp; SPARKLING WINES</t>
  </si>
  <si>
    <t>RHUBARB ▼</t>
  </si>
  <si>
    <t xml:space="preserve">         "</t>
  </si>
  <si>
    <t>Assume that 1000g rhubarb gives</t>
  </si>
  <si>
    <t>ml juice</t>
  </si>
  <si>
    <t>PRIMING SUGAR added</t>
  </si>
  <si>
    <t>(750ml used nominally)</t>
  </si>
  <si>
    <t>OR, for a bottle sized</t>
  </si>
  <si>
    <t>"Brewing" ̸ resting temp</t>
  </si>
  <si>
    <t>Temp</t>
  </si>
  <si>
    <t>Carbonation (Volumes CO2)</t>
  </si>
  <si>
    <t>NOTE:- I would recommend 4 volumes as the absolute maximum for wines &amp; use 1.7-2.6 volumes generally for ciders &amp; beers.</t>
  </si>
  <si>
    <t>Carbonation</t>
  </si>
  <si>
    <t>EFFECTIVE O.G. (After priming)</t>
  </si>
  <si>
    <t>EFFECTIVE F.G. (After priming)</t>
  </si>
  <si>
    <t>SLOE</t>
  </si>
  <si>
    <t>ALCOHOL (After priming)</t>
  </si>
  <si>
    <t>STRAWBERRY</t>
  </si>
  <si>
    <t>TANGERINE</t>
  </si>
  <si>
    <t>CALORIE ̸ UNIT COUNTER (After Priming)</t>
  </si>
  <si>
    <t xml:space="preserve">           "</t>
  </si>
  <si>
    <t>WATERMELON</t>
  </si>
  <si>
    <t>WHITECURRANT</t>
  </si>
  <si>
    <t>TINS</t>
  </si>
  <si>
    <t>(Check labels for sugar content)</t>
  </si>
  <si>
    <t>The sugars are shown here for tinned goods.</t>
  </si>
  <si>
    <t>APRICOTS</t>
  </si>
  <si>
    <t>CHERRY</t>
  </si>
  <si>
    <t>FRUIT SALAD</t>
  </si>
  <si>
    <t>SUGAR SOLUTIONS (Syrups)</t>
  </si>
  <si>
    <t>These tables can be used when making sugar solutions.</t>
  </si>
  <si>
    <t>1 level 5ml tsp sugar =</t>
  </si>
  <si>
    <t>Sugar (sucrose)</t>
  </si>
  <si>
    <t>BLACK CHERRIES</t>
  </si>
  <si>
    <t>A gravity of about 1300 is a good practical guide.</t>
  </si>
  <si>
    <t>Figures are approximate &amp; are temperature dependant.</t>
  </si>
  <si>
    <r>
      <t xml:space="preserve">For a fixed gravity of </t>
    </r>
    <r>
      <rPr>
        <b/>
        <sz val="10"/>
        <color rgb="FFFF0000"/>
        <rFont val="Arial"/>
        <family val="2"/>
      </rPr>
      <t>1300</t>
    </r>
  </si>
  <si>
    <t>Wt. Sugar</t>
  </si>
  <si>
    <t>Vol. water</t>
  </si>
  <si>
    <t>Final Vol.</t>
  </si>
  <si>
    <t xml:space="preserve">For a fixed Wt. of sugar &amp; a fixed Vol. of water </t>
  </si>
  <si>
    <t>S. G.</t>
  </si>
  <si>
    <t>PEACHES</t>
  </si>
  <si>
    <t>PEARS</t>
  </si>
  <si>
    <t>Sucrose</t>
  </si>
  <si>
    <t>"Sugar" wt. ̸ tsp</t>
  </si>
  <si>
    <t>Dextrose</t>
  </si>
  <si>
    <t>RHUBARB</t>
  </si>
  <si>
    <t>STRAWBERRIES</t>
  </si>
  <si>
    <t>SOME OTHER DRIED FRUITS</t>
  </si>
  <si>
    <t>FORTIFYING WINES</t>
  </si>
  <si>
    <t>Dried Fruit</t>
  </si>
  <si>
    <t>Sugar %</t>
  </si>
  <si>
    <t>Fresh Fruit Equiv. Wt.</t>
  </si>
  <si>
    <t>A method of calculating the amount of spirit required to fortify a wine.</t>
  </si>
  <si>
    <t>Purée per litre</t>
  </si>
  <si>
    <t>JUICES</t>
  </si>
  <si>
    <t>Spirit % ABV</t>
  </si>
  <si>
    <t>Vodka used</t>
  </si>
  <si>
    <t>(Check labels for sugar, preservatives &amp; purées)</t>
  </si>
  <si>
    <t>g ̸ 100ml</t>
  </si>
  <si>
    <t>Blueberry</t>
  </si>
  <si>
    <t>Wine % ABV</t>
  </si>
  <si>
    <t xml:space="preserve">The sugars are shown here for juices. </t>
  </si>
  <si>
    <t>Any potassium sorbate added to the juice  prevents fermentation.</t>
  </si>
  <si>
    <t>Elderberry</t>
  </si>
  <si>
    <t>Desired % ABV</t>
  </si>
  <si>
    <t>Mango</t>
  </si>
  <si>
    <t>Wine vol.</t>
  </si>
  <si>
    <t>Mulberry</t>
  </si>
  <si>
    <t>Spirit vol. required</t>
  </si>
  <si>
    <t>Peaches</t>
  </si>
  <si>
    <t>Final fortified wine vol.</t>
  </si>
  <si>
    <t>Pineapple</t>
  </si>
  <si>
    <t>Prunes (plums)</t>
  </si>
  <si>
    <t>"FIVE ALIVE"</t>
  </si>
  <si>
    <t>Strawberry</t>
  </si>
  <si>
    <t>Other 4</t>
  </si>
  <si>
    <t>ABV for FINISHED, DRY wines/ciders etc.</t>
  </si>
  <si>
    <t>RIBENA</t>
  </si>
  <si>
    <t>Measured O.G.</t>
  </si>
  <si>
    <t>If your measured figures, just enter your own gravities &amp; get the corrected % ABV figure.</t>
  </si>
  <si>
    <t>CONC.</t>
  </si>
  <si>
    <t>Measured F.G.</t>
  </si>
  <si>
    <t>Other 1</t>
  </si>
  <si>
    <t>Alcohol  % ABV</t>
  </si>
  <si>
    <t>PRUNE</t>
  </si>
  <si>
    <t>OTHER 3</t>
  </si>
  <si>
    <t>RECIPE SCALING</t>
  </si>
  <si>
    <t>OTHER 2</t>
  </si>
  <si>
    <t xml:space="preserve">Liquid measures </t>
  </si>
  <si>
    <t>Old Vol.</t>
  </si>
  <si>
    <t xml:space="preserve">Dry measures </t>
  </si>
  <si>
    <t>Old Wt.</t>
  </si>
  <si>
    <t>OTHER 1</t>
  </si>
  <si>
    <t>Assumed Boil Loss</t>
  </si>
  <si>
    <t>VEGETABLES</t>
  </si>
  <si>
    <t xml:space="preserve">Litres </t>
  </si>
  <si>
    <t>UK pts.</t>
  </si>
  <si>
    <t>US pts.</t>
  </si>
  <si>
    <t>lb.     oz</t>
  </si>
  <si>
    <t xml:space="preserve">"Finished" Wine Vol. </t>
  </si>
  <si>
    <t>Fruit 1</t>
  </si>
  <si>
    <r>
      <t xml:space="preserve">VEGETABLES - </t>
    </r>
    <r>
      <rPr>
        <sz val="10"/>
        <color rgb="FF969696"/>
        <rFont val="Arial"/>
        <family val="2"/>
      </rPr>
      <t>These grey figures are used in the calculations &amp; are editable</t>
    </r>
  </si>
  <si>
    <t>Boil Loss</t>
  </si>
  <si>
    <t>Juice 1</t>
  </si>
  <si>
    <t>Fruit 2</t>
  </si>
  <si>
    <t>BEETROOT</t>
  </si>
  <si>
    <t>Juice 2</t>
  </si>
  <si>
    <t>Fruit 3</t>
  </si>
  <si>
    <t>CARROT</t>
  </si>
  <si>
    <t>Juice 3</t>
  </si>
  <si>
    <t>CELERY</t>
  </si>
  <si>
    <t>MARROW</t>
  </si>
  <si>
    <t>PARSNIP</t>
  </si>
  <si>
    <r>
      <t>Sugar (</t>
    </r>
    <r>
      <rPr>
        <sz val="10"/>
        <color rgb="FFCC3399"/>
        <rFont val="Arial"/>
        <family val="2"/>
      </rPr>
      <t>g</t>
    </r>
    <r>
      <rPr>
        <sz val="10"/>
        <rFont val="Arial"/>
        <family val="2"/>
      </rPr>
      <t xml:space="preserve">)          </t>
    </r>
    <r>
      <rPr>
        <sz val="8"/>
        <color rgb="FFCC3399"/>
        <rFont val="Arial"/>
        <family val="2"/>
      </rPr>
      <t>Note the units used.</t>
    </r>
  </si>
  <si>
    <t xml:space="preserve">Pectic enzyme </t>
  </si>
  <si>
    <t>POTATO</t>
  </si>
  <si>
    <r>
      <t>Hot water (</t>
    </r>
    <r>
      <rPr>
        <sz val="10"/>
        <color rgb="FFCC3399"/>
        <rFont val="Arial"/>
        <family val="2"/>
      </rPr>
      <t>ml</t>
    </r>
    <r>
      <rPr>
        <sz val="10"/>
        <rFont val="Arial"/>
        <family val="2"/>
      </rPr>
      <t xml:space="preserve">)   </t>
    </r>
    <r>
      <rPr>
        <sz val="8"/>
        <color rgb="FFCC3399"/>
        <rFont val="Arial"/>
        <family val="2"/>
      </rPr>
      <t>Note the units used.</t>
    </r>
  </si>
  <si>
    <t>Nutrient</t>
  </si>
  <si>
    <t>Bentonite</t>
  </si>
  <si>
    <t>TCP TASTE ̸ AROMAS</t>
  </si>
  <si>
    <t>These can be reduced by just adding 10ml supermarket orange juice per litre of must to nullify most chloramines.</t>
  </si>
  <si>
    <t>Free for to use - Not for sale.</t>
  </si>
  <si>
    <t>Copyright Peter J. Laycock 28~10~'6</t>
  </si>
  <si>
    <t>HYDROMETER S.G. CORRECTION</t>
  </si>
  <si>
    <t>MISC. CONVERTERS</t>
  </si>
  <si>
    <r>
      <rPr>
        <sz val="10"/>
        <color rgb="FFFF0000"/>
        <rFont val="Arial"/>
        <family val="2"/>
      </rPr>
      <t>UK</t>
    </r>
    <r>
      <rPr>
        <sz val="10"/>
        <rFont val="Arial"/>
        <family val="2"/>
      </rPr>
      <t xml:space="preserve"> pts.</t>
    </r>
  </si>
  <si>
    <r>
      <rPr>
        <sz val="10"/>
        <color rgb="FFFF0000"/>
        <rFont val="Arial"/>
        <family val="2"/>
      </rPr>
      <t>US</t>
    </r>
    <r>
      <rPr>
        <sz val="10"/>
        <rFont val="Arial"/>
        <family val="2"/>
      </rPr>
      <t xml:space="preserve"> pts.</t>
    </r>
  </si>
  <si>
    <t>Calibrated Temp.</t>
  </si>
  <si>
    <t>Liquid Temp.</t>
  </si>
  <si>
    <t>NOTES:-</t>
  </si>
  <si>
    <t>F.G. &amp; ABV PREDICTOR</t>
  </si>
  <si>
    <t>For wine ̸ cider musts etc. (but NOT for beers) &amp; assuming the fermentation has not become "stuck".</t>
  </si>
  <si>
    <t>Design volume</t>
  </si>
  <si>
    <t>litres (inc. losses)</t>
  </si>
  <si>
    <t>Effective ̸ final volume</t>
  </si>
  <si>
    <t>litres (at present ̸ bottling)</t>
  </si>
  <si>
    <t>Sugar Equiv.</t>
  </si>
  <si>
    <t>ABV</t>
  </si>
  <si>
    <t>0 ̸ 0g</t>
  </si>
  <si>
    <t xml:space="preserve">NOTES:- </t>
  </si>
  <si>
    <t>The ultimate potential ABV depends on the yeast use, this is no indication of the quality of the wine, in fact yeasts giving very high ABV's (often classed as turdo) give the worst tasting results. The highest ABV from yeast alone is about 23%.</t>
  </si>
  <si>
    <t>www.signaturewinesofohio.com</t>
  </si>
  <si>
    <t xml:space="preserve">By kind permission of </t>
  </si>
  <si>
    <t>Wine Type</t>
  </si>
  <si>
    <t>Dry White Table</t>
  </si>
  <si>
    <t>Dry Red Table</t>
  </si>
  <si>
    <t>Rose Table</t>
  </si>
  <si>
    <t>Sweet White</t>
  </si>
  <si>
    <t>Sweet Red</t>
  </si>
  <si>
    <t>Dessert (Fruit)</t>
  </si>
  <si>
    <t>Dessert (Port)</t>
  </si>
  <si>
    <t>% Acid of Must (As Tartaric Acid)</t>
  </si>
  <si>
    <t>0.35 - 0.55</t>
  </si>
  <si>
    <t>0.35 - 0.5</t>
  </si>
  <si>
    <t>0.45 - 0.6</t>
  </si>
  <si>
    <t>0.35 - 0.6</t>
  </si>
  <si>
    <t>0.25 - 0.5</t>
  </si>
  <si>
    <t>0.4 - 0.5</t>
  </si>
  <si>
    <t>0.25 - 0.35</t>
  </si>
  <si>
    <t>% Acid of Finished Wine (As Tartaric Acid)</t>
  </si>
  <si>
    <t>0.50 - 0.70</t>
  </si>
  <si>
    <t>0.50 - 0.65</t>
  </si>
  <si>
    <t>0.60 - 0.75</t>
  </si>
  <si>
    <t>0.5 - 0.75</t>
  </si>
  <si>
    <t>0.40 - 0.65</t>
  </si>
  <si>
    <t>0.55 - 0.65</t>
  </si>
  <si>
    <t>0.40 - 0.50</t>
  </si>
  <si>
    <t>Insert your own figures</t>
  </si>
  <si>
    <t>Calculated Values</t>
  </si>
  <si>
    <t>Adjusting Acidity Following Titration</t>
  </si>
  <si>
    <t>Volume of wine / must</t>
  </si>
  <si>
    <t>ml of wine / must tested</t>
  </si>
  <si>
    <t>ml of NaOH used to neutralise wine / must</t>
  </si>
  <si>
    <t>Strength of NaOH</t>
  </si>
  <si>
    <t>Desired acidity of wine (as % tartaric)</t>
  </si>
  <si>
    <t>moles of NaOH to neutralise test sample</t>
  </si>
  <si>
    <t>moles</t>
  </si>
  <si>
    <t>moles of NaOH to neutralise 100ml</t>
  </si>
  <si>
    <t>moles of NaOH to neutralise volume of wine</t>
  </si>
  <si>
    <t>moles of acid in test sample</t>
  </si>
  <si>
    <t>moles of acid in 100ml</t>
  </si>
  <si>
    <t>moles of acid in volume of wine</t>
  </si>
  <si>
    <t>Acidity as % sulphuric acid</t>
  </si>
  <si>
    <t>Acidity as % tartaric acid</t>
  </si>
  <si>
    <t>To Increase Acidity to Desired Level Add</t>
  </si>
  <si>
    <t>Tartaric Acid OR</t>
  </si>
  <si>
    <t>Citric Acid OR</t>
  </si>
  <si>
    <t>Malic Acid</t>
  </si>
  <si>
    <t>To Decrease Acidity to Desired Level Add</t>
  </si>
  <si>
    <r>
      <t>Precipitated Chalk (CaCO</t>
    </r>
    <r>
      <rPr>
        <vertAlign val="subscript"/>
        <sz val="10"/>
        <rFont val="Arial"/>
        <family val="2"/>
      </rPr>
      <t>3</t>
    </r>
    <r>
      <rPr>
        <sz val="10"/>
        <rFont val="Arial"/>
        <family val="2"/>
      </rPr>
      <t>)</t>
    </r>
  </si>
  <si>
    <r>
      <t>Sodium Bicarbonate (NaHCO</t>
    </r>
    <r>
      <rPr>
        <sz val="6"/>
        <rFont val="Arial"/>
        <family val="2"/>
      </rPr>
      <t>3</t>
    </r>
    <r>
      <rPr>
        <sz val="10"/>
        <rFont val="Arial"/>
        <family val="2"/>
      </rPr>
      <t>)</t>
    </r>
  </si>
  <si>
    <r>
      <t>Disclaimer</t>
    </r>
    <r>
      <rPr>
        <sz val="10"/>
        <color rgb="FF808080"/>
        <rFont val="Arial"/>
        <family val="2"/>
      </rPr>
      <t xml:space="preserve">: </t>
    </r>
    <r>
      <rPr>
        <sz val="10"/>
        <color rgb="FF000000"/>
        <rFont val="Arial"/>
        <family val="2"/>
      </rPr>
      <t>No responsibility is assumed or implied as a result of using this spreadsheet.</t>
    </r>
  </si>
  <si>
    <t>www.petespintpot.co.uk ̸ alcoholic-cocktails.html</t>
  </si>
  <si>
    <t>www.petespintpot.co.uk ̸ non-alcoholic.html</t>
  </si>
  <si>
    <t>&amp;</t>
  </si>
  <si>
    <t>Denotes "editable" cells.</t>
  </si>
  <si>
    <t>All figures are approximate &amp; ignore any garnishings.</t>
  </si>
  <si>
    <t>A "dash" or "splash" is approx. 2-3 ml &amp; can be considered to be 0.1 of a shot, so 3 dashes = 0.3 shots etc.</t>
  </si>
  <si>
    <t>Cocktail Name:</t>
  </si>
  <si>
    <t>Shots</t>
  </si>
  <si>
    <t>Mixers</t>
  </si>
  <si>
    <t>Notes:-</t>
  </si>
  <si>
    <t>(25ml)</t>
  </si>
  <si>
    <t>100ml</t>
  </si>
  <si>
    <t>Cals</t>
  </si>
  <si>
    <t>Carbs</t>
  </si>
  <si>
    <t>Spirits (in general)</t>
  </si>
  <si>
    <t>Apple juice</t>
  </si>
  <si>
    <t>Absinthe</t>
  </si>
  <si>
    <t>Apple juice (fresh)</t>
  </si>
  <si>
    <t>Advocaat</t>
  </si>
  <si>
    <t>Amarula Cream</t>
  </si>
  <si>
    <t>Angostura bitters</t>
  </si>
  <si>
    <t xml:space="preserve">Aperol Aperitivo </t>
  </si>
  <si>
    <t>Coconut cream</t>
  </si>
  <si>
    <t>Coke</t>
  </si>
  <si>
    <t>Bacardi rum</t>
  </si>
  <si>
    <t>Cranberry juice</t>
  </si>
  <si>
    <t>Bénédictine Dom Liqueur</t>
  </si>
  <si>
    <t>Cranberry juice (fresh)</t>
  </si>
  <si>
    <t>Brandy</t>
  </si>
  <si>
    <t>Cream (single)</t>
  </si>
  <si>
    <t>Bourbon</t>
  </si>
  <si>
    <t>Double Cream</t>
  </si>
  <si>
    <t xml:space="preserve">Cachaça </t>
  </si>
  <si>
    <t>Campari</t>
  </si>
  <si>
    <t>Cognac</t>
  </si>
  <si>
    <t>Elderflower cordial</t>
  </si>
  <si>
    <t>Cointreau</t>
  </si>
  <si>
    <t>Cointreau Triple Sec</t>
  </si>
  <si>
    <t xml:space="preserve">Creme De Mure liqueur (blackberry) </t>
  </si>
  <si>
    <t>Ginger ale</t>
  </si>
  <si>
    <t>Cuarenta Y Tres liqueur</t>
  </si>
  <si>
    <t>Grape juice (red)</t>
  </si>
  <si>
    <t>De Kuyper Blue Curaçao</t>
  </si>
  <si>
    <t>Grape juice (white)</t>
  </si>
  <si>
    <t>De Kuyper Cherry Brandy Liqueur</t>
  </si>
  <si>
    <t>Grenadine</t>
  </si>
  <si>
    <t xml:space="preserve">De Kuyper Crème De Cacao </t>
  </si>
  <si>
    <t>De Kuyper Crème De Cassis</t>
  </si>
  <si>
    <t xml:space="preserve">De Kuyper Crème De Menthe </t>
  </si>
  <si>
    <t>De Kuyper Raspberry Liqueur</t>
  </si>
  <si>
    <t>Lemon juice</t>
  </si>
  <si>
    <t>De Kuyper Triple Sec</t>
  </si>
  <si>
    <t>Lemon juice (fresh)</t>
  </si>
  <si>
    <t>Lemonade</t>
  </si>
  <si>
    <t>Disaronno Amaretto Almond Liqueur</t>
  </si>
  <si>
    <t>Domaine de Canton ginger liqueur</t>
  </si>
  <si>
    <t>Lime cordial</t>
  </si>
  <si>
    <t>Lime juice</t>
  </si>
  <si>
    <t>Fig Liqueur</t>
  </si>
  <si>
    <t>Lime juice (fresh)</t>
  </si>
  <si>
    <t>Galliano</t>
  </si>
  <si>
    <t>Gin</t>
  </si>
  <si>
    <t>Milk</t>
  </si>
  <si>
    <t>Leblon Cachaça</t>
  </si>
  <si>
    <t>Orange juice</t>
  </si>
  <si>
    <t>Malibu</t>
  </si>
  <si>
    <t>Orange juice (fresh)</t>
  </si>
  <si>
    <t>Maraschino liqueur</t>
  </si>
  <si>
    <t xml:space="preserve">Noilly Prat </t>
  </si>
  <si>
    <t>Orange Curacao</t>
  </si>
  <si>
    <t>Passion fruit juice</t>
  </si>
  <si>
    <t>Peach Schnapps</t>
  </si>
  <si>
    <t>Passion fruit juice (bottled)</t>
  </si>
  <si>
    <t>Pimm’s No. 1</t>
  </si>
  <si>
    <t>Peach juice</t>
  </si>
  <si>
    <t>Port</t>
  </si>
  <si>
    <t>Peach puree</t>
  </si>
  <si>
    <t>Rum (white or dark)</t>
  </si>
  <si>
    <t>Pineapple juice</t>
  </si>
  <si>
    <t>Sake</t>
  </si>
  <si>
    <t>Sherry (dry)</t>
  </si>
  <si>
    <t>Soda water</t>
  </si>
  <si>
    <t>Sherry (sweet)</t>
  </si>
  <si>
    <t>Sugar syrup</t>
  </si>
  <si>
    <t>Sloe gin liqueur</t>
  </si>
  <si>
    <t>Tomato juice</t>
  </si>
  <si>
    <t>Tequila</t>
  </si>
  <si>
    <t>Tonic water</t>
  </si>
  <si>
    <t>Tia Maria (coffee) liqueur</t>
  </si>
  <si>
    <t>Tio Pepe Fino sherry</t>
  </si>
  <si>
    <t>Worcestershire Sauce</t>
  </si>
  <si>
    <t>Vermouth</t>
  </si>
  <si>
    <t>Mixers (solid)</t>
  </si>
  <si>
    <t>No.</t>
  </si>
  <si>
    <t>V(ml)</t>
  </si>
  <si>
    <t>Vodka</t>
  </si>
  <si>
    <t>Whisky</t>
  </si>
  <si>
    <t>Egg (medium)</t>
  </si>
  <si>
    <t>Wine (red ̸ white dessert)</t>
  </si>
  <si>
    <t>Egg white (medium)</t>
  </si>
  <si>
    <t>Wine (red ̸ white dry)</t>
  </si>
  <si>
    <t xml:space="preserve">Wine Sparkling </t>
  </si>
  <si>
    <t>Ice (crushed)</t>
  </si>
  <si>
    <t>Ice (cubes)</t>
  </si>
  <si>
    <t>Copyright Peter J. Laycock 1~4~'13</t>
  </si>
  <si>
    <t xml:space="preserve">Check for the latest version on </t>
  </si>
  <si>
    <t>Jam Name</t>
  </si>
  <si>
    <t>SUGAR CALCULATED</t>
  </si>
  <si>
    <t>Insert your own figures in the yellow boxes.</t>
  </si>
  <si>
    <t>WATER CALCULATED</t>
  </si>
  <si>
    <t>No information available, value has been "guesstimated".</t>
  </si>
  <si>
    <t>ACID ADDED (Tartaric ̸ Citric ̸ Malic)</t>
  </si>
  <si>
    <t>PECTIN ADDED (Powder)</t>
  </si>
  <si>
    <t>TOTAL ACID</t>
  </si>
  <si>
    <r>
      <t xml:space="preserve">  Higher values lead to a better "set". Aim for at least a "</t>
    </r>
    <r>
      <rPr>
        <b/>
        <sz val="10"/>
        <color rgb="FFFF00FF"/>
        <rFont val="Arial"/>
        <family val="2"/>
      </rPr>
      <t>Medium</t>
    </r>
    <r>
      <rPr>
        <sz val="10"/>
        <rFont val="Arial"/>
        <family val="2"/>
      </rPr>
      <t>".</t>
    </r>
  </si>
  <si>
    <t>TOTAL PECTIN</t>
  </si>
  <si>
    <t>ESTIMATED INITIAL VOLUME</t>
  </si>
  <si>
    <r>
      <t>ml</t>
    </r>
    <r>
      <rPr>
        <sz val="10"/>
        <color rgb="FFFF0000"/>
        <rFont val="Arial"/>
        <family val="2"/>
      </rPr>
      <t xml:space="preserve"> (approx.)</t>
    </r>
  </si>
  <si>
    <t>SUGGESTED PAN VOLUME</t>
  </si>
  <si>
    <t>litres (allows for excessive "boiling up")</t>
  </si>
  <si>
    <t>Please read the "Disclaimer" before using this spreadsheet.</t>
  </si>
  <si>
    <t>"Stone"</t>
  </si>
  <si>
    <t>Usable</t>
  </si>
  <si>
    <t>Water</t>
  </si>
  <si>
    <t>Cooking</t>
  </si>
  <si>
    <t>Factor</t>
  </si>
  <si>
    <t>Added ml</t>
  </si>
  <si>
    <t>Added g</t>
  </si>
  <si>
    <t>Time (min)</t>
  </si>
  <si>
    <t>GENERAL NOTES</t>
  </si>
  <si>
    <t>COOK</t>
  </si>
  <si>
    <t>EAT</t>
  </si>
  <si>
    <t>Ripe</t>
  </si>
  <si>
    <t>Under-ripe</t>
  </si>
  <si>
    <t>60+</t>
  </si>
  <si>
    <t>BANANA</t>
  </si>
  <si>
    <t>35+</t>
  </si>
  <si>
    <t>BLACK</t>
  </si>
  <si>
    <t>20+</t>
  </si>
  <si>
    <t>25+</t>
  </si>
  <si>
    <t>15+</t>
  </si>
  <si>
    <t>LEMON</t>
  </si>
  <si>
    <t>LITCHI</t>
  </si>
  <si>
    <t>Flesh</t>
  </si>
  <si>
    <t>30+</t>
  </si>
  <si>
    <t>PAPAYA</t>
  </si>
  <si>
    <t>75+</t>
  </si>
  <si>
    <t xml:space="preserve">PERSIMMON </t>
  </si>
  <si>
    <t>(Sharon Fruit)</t>
  </si>
  <si>
    <t>Dried</t>
  </si>
  <si>
    <r>
      <t>RHUBARB</t>
    </r>
    <r>
      <rPr>
        <b/>
        <sz val="10"/>
        <rFont val="Arial"/>
        <family val="2"/>
      </rPr>
      <t xml:space="preserve"> </t>
    </r>
    <r>
      <rPr>
        <b/>
        <sz val="10"/>
        <color rgb="FFFF0000"/>
        <rFont val="Arial"/>
        <family val="2"/>
      </rPr>
      <t>▼</t>
    </r>
  </si>
  <si>
    <t>Hulled</t>
  </si>
  <si>
    <t>10+</t>
  </si>
  <si>
    <t>OTHER 4</t>
  </si>
  <si>
    <t xml:space="preserve">▼ DO NOT USE ALUMINIUM utensils as the acids present in this vegetable will react with these &amp; MAY ultimately lead to Alzheimer's disease. </t>
  </si>
  <si>
    <t>USER ̸ RECIPE NOTES:-</t>
  </si>
  <si>
    <r>
      <rPr>
        <b/>
        <u/>
        <sz val="22"/>
        <color indexed="8"/>
        <rFont val="Times New Roman"/>
        <family val="1"/>
      </rPr>
      <t>P</t>
    </r>
    <r>
      <rPr>
        <b/>
        <u/>
        <sz val="20"/>
        <color indexed="8"/>
        <rFont val="Times New Roman"/>
        <family val="1"/>
      </rPr>
      <t xml:space="preserve">ete's </t>
    </r>
    <r>
      <rPr>
        <b/>
        <u/>
        <sz val="22"/>
        <color indexed="8"/>
        <rFont val="Times New Roman"/>
        <family val="1"/>
      </rPr>
      <t>Y</t>
    </r>
    <r>
      <rPr>
        <b/>
        <u/>
        <sz val="20"/>
        <color indexed="8"/>
        <rFont val="Times New Roman"/>
        <family val="1"/>
      </rPr>
      <t>o</t>
    </r>
    <r>
      <rPr>
        <b/>
        <u/>
        <sz val="22"/>
        <color indexed="8"/>
        <rFont val="Times New Roman"/>
        <family val="1"/>
      </rPr>
      <t>B</t>
    </r>
    <r>
      <rPr>
        <b/>
        <u/>
        <sz val="20"/>
        <color indexed="8"/>
        <rFont val="Times New Roman"/>
        <family val="1"/>
      </rPr>
      <t xml:space="preserve">rew </t>
    </r>
    <r>
      <rPr>
        <b/>
        <u/>
        <sz val="22"/>
        <color indexed="8"/>
        <rFont val="Times New Roman"/>
        <family val="1"/>
      </rPr>
      <t>W</t>
    </r>
    <r>
      <rPr>
        <b/>
        <u/>
        <sz val="20"/>
        <color indexed="8"/>
        <rFont val="Times New Roman"/>
        <family val="1"/>
      </rPr>
      <t xml:space="preserve">ine </t>
    </r>
    <r>
      <rPr>
        <b/>
        <u/>
        <sz val="22"/>
        <color indexed="8"/>
        <rFont val="Times New Roman"/>
        <family val="1"/>
      </rPr>
      <t>&amp;</t>
    </r>
    <r>
      <rPr>
        <b/>
        <u/>
        <sz val="20"/>
        <color indexed="8"/>
        <rFont val="Times New Roman"/>
        <family val="1"/>
      </rPr>
      <t xml:space="preserve"> </t>
    </r>
    <r>
      <rPr>
        <b/>
        <u/>
        <sz val="22"/>
        <color indexed="8"/>
        <rFont val="Times New Roman"/>
        <family val="1"/>
      </rPr>
      <t>J</t>
    </r>
    <r>
      <rPr>
        <b/>
        <u/>
        <sz val="20"/>
        <color indexed="8"/>
        <rFont val="Times New Roman"/>
        <family val="1"/>
      </rPr>
      <t xml:space="preserve">am </t>
    </r>
    <r>
      <rPr>
        <b/>
        <u/>
        <sz val="22"/>
        <color indexed="8"/>
        <rFont val="Times New Roman"/>
        <family val="1"/>
      </rPr>
      <t>E</t>
    </r>
    <r>
      <rPr>
        <b/>
        <u/>
        <sz val="20"/>
        <color indexed="8"/>
        <rFont val="Times New Roman"/>
        <family val="1"/>
      </rPr>
      <t xml:space="preserve">tc. </t>
    </r>
    <r>
      <rPr>
        <b/>
        <u/>
        <sz val="22"/>
        <color indexed="8"/>
        <rFont val="Times New Roman"/>
        <family val="1"/>
      </rPr>
      <t>C</t>
    </r>
    <r>
      <rPr>
        <b/>
        <u/>
        <sz val="20"/>
        <color indexed="8"/>
        <rFont val="Times New Roman"/>
        <family val="1"/>
      </rPr>
      <t>alc's.</t>
    </r>
  </si>
  <si>
    <r>
      <rPr>
        <b/>
        <u/>
        <sz val="22"/>
        <color indexed="8"/>
        <rFont val="Times New Roman"/>
        <family val="1"/>
      </rPr>
      <t>P</t>
    </r>
    <r>
      <rPr>
        <b/>
        <u/>
        <sz val="20"/>
        <color indexed="8"/>
        <rFont val="Times New Roman"/>
        <family val="1"/>
      </rPr>
      <t xml:space="preserve">ete's </t>
    </r>
    <r>
      <rPr>
        <b/>
        <u/>
        <sz val="22"/>
        <color indexed="8"/>
        <rFont val="Times New Roman"/>
        <family val="1"/>
      </rPr>
      <t>G</t>
    </r>
    <r>
      <rPr>
        <b/>
        <u/>
        <sz val="20"/>
        <color indexed="8"/>
        <rFont val="Times New Roman"/>
        <family val="1"/>
      </rPr>
      <t xml:space="preserve">eneral </t>
    </r>
    <r>
      <rPr>
        <b/>
        <u/>
        <sz val="22"/>
        <color indexed="8"/>
        <rFont val="Times New Roman"/>
        <family val="1"/>
      </rPr>
      <t>C</t>
    </r>
    <r>
      <rPr>
        <b/>
        <u/>
        <sz val="20"/>
        <color indexed="8"/>
        <rFont val="Times New Roman"/>
        <family val="1"/>
      </rPr>
      <t>alc's.</t>
    </r>
  </si>
  <si>
    <r>
      <rPr>
        <b/>
        <sz val="22"/>
        <color indexed="8"/>
        <rFont val="Times New Roman"/>
        <family val="1"/>
      </rPr>
      <t xml:space="preserve"> </t>
    </r>
    <r>
      <rPr>
        <b/>
        <u/>
        <sz val="22"/>
        <color indexed="8"/>
        <rFont val="Times New Roman"/>
        <family val="1"/>
      </rPr>
      <t>P</t>
    </r>
    <r>
      <rPr>
        <b/>
        <u/>
        <sz val="20"/>
        <color indexed="8"/>
        <rFont val="Times New Roman"/>
        <family val="1"/>
      </rPr>
      <t xml:space="preserve">ete's </t>
    </r>
    <r>
      <rPr>
        <b/>
        <u/>
        <sz val="22"/>
        <color indexed="8"/>
        <rFont val="Times New Roman"/>
        <family val="1"/>
      </rPr>
      <t>C</t>
    </r>
    <r>
      <rPr>
        <b/>
        <u/>
        <sz val="20"/>
        <color indexed="8"/>
        <rFont val="Times New Roman"/>
        <family val="1"/>
      </rPr>
      <t xml:space="preserve">ocktail </t>
    </r>
    <r>
      <rPr>
        <b/>
        <u/>
        <sz val="22"/>
        <color indexed="8"/>
        <rFont val="Times New Roman"/>
        <family val="1"/>
      </rPr>
      <t>U</t>
    </r>
    <r>
      <rPr>
        <b/>
        <u/>
        <sz val="20"/>
        <color indexed="8"/>
        <rFont val="Times New Roman"/>
        <family val="1"/>
      </rPr>
      <t xml:space="preserve">nit </t>
    </r>
    <r>
      <rPr>
        <b/>
        <u/>
        <sz val="22"/>
        <color indexed="8"/>
        <rFont val="Times New Roman"/>
        <family val="1"/>
      </rPr>
      <t>C</t>
    </r>
    <r>
      <rPr>
        <b/>
        <u/>
        <sz val="20"/>
        <color indexed="8"/>
        <rFont val="Times New Roman"/>
        <family val="1"/>
      </rPr>
      <t>alculator</t>
    </r>
  </si>
  <si>
    <t>(UK Measures)</t>
  </si>
  <si>
    <t xml:space="preserve">It is fair to assume that a "drop" is approx. 0.05-0.06ml in size, this gives about 400-500 drops in one "shot" (25ml in the UK) &amp; can safely be ignored in our calculations. </t>
  </si>
  <si>
    <r>
      <t>Vol.</t>
    </r>
    <r>
      <rPr>
        <sz val="9"/>
        <color indexed="8"/>
        <rFont val="Times New Roman"/>
        <family val="1"/>
      </rPr>
      <t xml:space="preserve"> (ml)</t>
    </r>
  </si>
  <si>
    <t>dimensions (mm)</t>
  </si>
  <si>
    <t>(ignoring the density)</t>
  </si>
  <si>
    <t>This is writen using the Microsoft Excel program, I find the "Office" by Ashampoo (inc. the free program) are my pick of the other "Office" suites.</t>
  </si>
  <si>
    <t>E&amp;OE. No responsibility is assumed or implied as a result of using these spreadsheets.</t>
  </si>
  <si>
    <r>
      <rPr>
        <b/>
        <sz val="10"/>
        <color rgb="FFFF0000"/>
        <rFont val="Arial"/>
        <family val="2"/>
      </rPr>
      <t>Disclaimer:</t>
    </r>
    <r>
      <rPr>
        <sz val="10"/>
        <rFont val="Arial"/>
        <family val="2"/>
      </rPr>
      <t xml:space="preserve"> E&amp;OE. No responsibility is assumed or implied as a result of using this spreadsheet.</t>
    </r>
  </si>
  <si>
    <r>
      <rPr>
        <b/>
        <u/>
        <sz val="9"/>
        <color indexed="10"/>
        <rFont val="Times New Roman"/>
        <family val="1"/>
      </rPr>
      <t>Disclaime</t>
    </r>
    <r>
      <rPr>
        <b/>
        <u/>
        <sz val="9"/>
        <color rgb="FFFF0000"/>
        <rFont val="Times New Roman"/>
        <family val="1"/>
      </rPr>
      <t>r:</t>
    </r>
    <r>
      <rPr>
        <u/>
        <sz val="9"/>
        <rFont val="Times New Roman"/>
        <family val="1"/>
      </rPr>
      <t xml:space="preserve"> E&amp;OE. No responsibility is assumed or implied as a result of using this spreadsheet.</t>
    </r>
  </si>
  <si>
    <r>
      <rPr>
        <b/>
        <sz val="10"/>
        <color rgb="FFFF0000"/>
        <rFont val="Arial"/>
        <family val="2"/>
      </rPr>
      <t>Disclaimer:</t>
    </r>
    <r>
      <rPr>
        <sz val="10"/>
        <color rgb="FF000000"/>
        <rFont val="Arial"/>
        <family val="2"/>
      </rPr>
      <t xml:space="preserve"> E&amp;OE. No responsibility is assumed or implied as a result of using this spreadsheet.</t>
    </r>
  </si>
  <si>
    <t>Knickers!</t>
  </si>
  <si>
    <t>ml (for solid ingredients - fruit skins/purées etc.)</t>
  </si>
  <si>
    <t>Purée waste factor, this is assumed nominally set at "10", see cell L59 for details.</t>
  </si>
  <si>
    <t>If known</t>
  </si>
  <si>
    <r>
      <rPr>
        <sz val="10"/>
        <color theme="0" tint="-4.9989318521683403E-2"/>
        <rFont val="Calibri"/>
        <family val="2"/>
      </rPr>
      <t>≈=</t>
    </r>
    <r>
      <rPr>
        <sz val="10"/>
        <color theme="0" tint="-4.9989318521683403E-2"/>
        <rFont val="Arial"/>
        <family val="2"/>
      </rPr>
      <t>($F$36:£F£39)+SUM($F150:$F$ 511), )&amp; ̸ "&amp;F(K56*P105*R105/ (M105*D5),1)&amp;" sex"&amp;W11SE/A6*B2</t>
    </r>
  </si>
  <si>
    <r>
      <t>"</t>
    </r>
    <r>
      <rPr>
        <sz val="10"/>
        <color rgb="FF0000FF"/>
        <rFont val="Times New Roman"/>
        <family val="1"/>
      </rPr>
      <t>Mat. Time</t>
    </r>
    <r>
      <rPr>
        <sz val="10"/>
        <rFont val="Times New Roman"/>
        <family val="1"/>
      </rPr>
      <t xml:space="preserve">" is the minimum bulk </t>
    </r>
    <r>
      <rPr>
        <b/>
        <u/>
        <sz val="10"/>
        <rFont val="Times New Roman"/>
        <family val="1"/>
      </rPr>
      <t>Mat</t>
    </r>
    <r>
      <rPr>
        <sz val="10"/>
        <rFont val="Times New Roman"/>
        <family val="1"/>
      </rPr>
      <t xml:space="preserve">uration </t>
    </r>
    <r>
      <rPr>
        <b/>
        <u/>
        <sz val="10"/>
        <rFont val="Times New Roman"/>
        <family val="1"/>
      </rPr>
      <t>Time</t>
    </r>
    <r>
      <rPr>
        <sz val="10"/>
        <rFont val="Times New Roman"/>
        <family val="1"/>
      </rPr>
      <t xml:space="preserve"> in MONTHS for that ingredient.</t>
    </r>
  </si>
  <si>
    <r>
      <rPr>
        <b/>
        <u/>
        <sz val="22"/>
        <color indexed="8"/>
        <rFont val="Times New Roman"/>
        <family val="1"/>
      </rPr>
      <t>P</t>
    </r>
    <r>
      <rPr>
        <b/>
        <u/>
        <sz val="20"/>
        <color indexed="8"/>
        <rFont val="Times New Roman"/>
        <family val="1"/>
      </rPr>
      <t xml:space="preserve">ete's </t>
    </r>
    <r>
      <rPr>
        <b/>
        <u/>
        <sz val="22"/>
        <color indexed="8"/>
        <rFont val="Times New Roman"/>
        <family val="1"/>
      </rPr>
      <t>W</t>
    </r>
    <r>
      <rPr>
        <b/>
        <u/>
        <sz val="20"/>
        <color indexed="8"/>
        <rFont val="Times New Roman"/>
        <family val="1"/>
      </rPr>
      <t xml:space="preserve">ine </t>
    </r>
    <r>
      <rPr>
        <b/>
        <u/>
        <sz val="22"/>
        <color indexed="8"/>
        <rFont val="Times New Roman"/>
        <family val="1"/>
      </rPr>
      <t>&amp;</t>
    </r>
    <r>
      <rPr>
        <b/>
        <u/>
        <sz val="20"/>
        <color indexed="8"/>
        <rFont val="Times New Roman"/>
        <family val="1"/>
      </rPr>
      <t xml:space="preserve"> </t>
    </r>
    <r>
      <rPr>
        <b/>
        <u/>
        <sz val="22"/>
        <color indexed="8"/>
        <rFont val="Times New Roman"/>
        <family val="1"/>
      </rPr>
      <t>C</t>
    </r>
    <r>
      <rPr>
        <b/>
        <u/>
        <sz val="20"/>
        <color indexed="8"/>
        <rFont val="Times New Roman"/>
        <family val="1"/>
      </rPr>
      <t xml:space="preserve">ider </t>
    </r>
    <r>
      <rPr>
        <b/>
        <u/>
        <sz val="22"/>
        <color indexed="8"/>
        <rFont val="Times New Roman"/>
        <family val="1"/>
      </rPr>
      <t>C</t>
    </r>
    <r>
      <rPr>
        <b/>
        <u/>
        <sz val="20"/>
        <color indexed="8"/>
        <rFont val="Times New Roman"/>
        <family val="1"/>
      </rPr>
      <t>alculator</t>
    </r>
  </si>
  <si>
    <r>
      <rPr>
        <sz val="10"/>
        <rFont val="Times New Roman"/>
        <family val="1"/>
      </rPr>
      <t xml:space="preserve">▼ Technically rhubarb is a vegetable. DO NOT USE ALUMINIUM utensils as the acids present in this vegetable will react with this &amp; </t>
    </r>
    <r>
      <rPr>
        <b/>
        <i/>
        <u/>
        <sz val="10"/>
        <rFont val="Times New Roman"/>
        <family val="1"/>
      </rPr>
      <t>may,</t>
    </r>
    <r>
      <rPr>
        <sz val="10"/>
        <rFont val="Times New Roman"/>
        <family val="1"/>
      </rPr>
      <t>ultimately lead to Alzheimer's disease.</t>
    </r>
  </si>
  <si>
    <r>
      <t>SOME TYPICAL WINE PARAMETERS.</t>
    </r>
    <r>
      <rPr>
        <b/>
        <sz val="9"/>
        <color rgb="FF808080"/>
        <rFont val="Times New Roman"/>
        <family val="1"/>
      </rPr>
      <t xml:space="preserve"> Adapted from "Must" by Professor Gerry Fowles. If used, treat as a rough guide only as the figures below are VERY arbitrary.</t>
    </r>
  </si>
  <si>
    <t>Approx sweetening sugar (g ̸ 750ml bottle)</t>
  </si>
  <si>
    <t>Any data given for tannin is un-reliable, especially for tea, careful design of your recipes is much better than adding additional tanning. Read the instructions BEFORE adding any tannin.</t>
  </si>
  <si>
    <t>This assumes that the any vegetables (cells B143:F147) are catered for as per cell L13. Use the figures below as a VERY APPROX. GUIDE only.</t>
  </si>
  <si>
    <t>The above figures must be "0" when PRIMING</t>
  </si>
  <si>
    <t>Desired acidity as tartaric (number of moles acid per 100ml)</t>
  </si>
  <si>
    <t>Excess in acidity of wine (as tartaric)</t>
  </si>
  <si>
    <t>Shortfall in acidity of wine (as tartaric)</t>
  </si>
  <si>
    <r>
      <t>Potassium Bicarbonate (KHCO</t>
    </r>
    <r>
      <rPr>
        <sz val="6"/>
        <rFont val="Arial"/>
        <family val="2"/>
      </rPr>
      <t>3</t>
    </r>
    <r>
      <rPr>
        <sz val="10"/>
        <rFont val="Arial"/>
        <family val="2"/>
      </rPr>
      <t>)</t>
    </r>
  </si>
  <si>
    <r>
      <t>TINS -</t>
    </r>
    <r>
      <rPr>
        <sz val="10"/>
        <color rgb="FF969696"/>
        <rFont val="Arial"/>
        <family val="2"/>
      </rPr>
      <t xml:space="preserve"> These grey figures are used in the calculations &amp; are editable</t>
    </r>
  </si>
  <si>
    <t>oz      OR       lb      OR    lb    oz</t>
  </si>
  <si>
    <t>Wt. g   OR  Wt. Kg</t>
  </si>
  <si>
    <t>Max.</t>
  </si>
  <si>
    <t xml:space="preserve"> 4 rec.</t>
  </si>
  <si>
    <t>Copyright Peter J. £aycock 28~10~'10</t>
  </si>
  <si>
    <t>Tequila Sunrise</t>
  </si>
  <si>
    <t>For "fine tuning" the acid &amp; pectin content of the jam.</t>
  </si>
  <si>
    <r>
      <t xml:space="preserve">Higher values lead to a better "set". Aim for at least a </t>
    </r>
    <r>
      <rPr>
        <b/>
        <sz val="10"/>
        <color rgb="FFFF00FF"/>
        <rFont val="Arial"/>
        <family val="2"/>
      </rPr>
      <t>"Medium"</t>
    </r>
    <r>
      <rPr>
        <sz val="10"/>
        <rFont val="Arial"/>
        <family val="2"/>
      </rPr>
      <t>.</t>
    </r>
  </si>
  <si>
    <t xml:space="preserve">          "</t>
  </si>
  <si>
    <t>Corrected Reading (°Brix)</t>
  </si>
  <si>
    <r>
      <t xml:space="preserve">Safe Drinking Recommendations </t>
    </r>
    <r>
      <rPr>
        <b/>
        <u/>
        <sz val="12"/>
        <color rgb="FFFF0000"/>
        <rFont val="Times New Roman"/>
        <family val="1"/>
      </rPr>
      <t>(UK)</t>
    </r>
  </si>
  <si>
    <t>SG to % ABV Calculators</t>
  </si>
  <si>
    <t xml:space="preserve">Original Gravity </t>
  </si>
  <si>
    <r>
      <rPr>
        <b/>
        <sz val="10"/>
        <color indexed="8"/>
        <rFont val="Times New Roman"/>
        <family val="1"/>
      </rPr>
      <t>OG</t>
    </r>
    <r>
      <rPr>
        <sz val="10"/>
        <color indexed="8"/>
        <rFont val="Times New Roman"/>
        <family val="1"/>
      </rPr>
      <t xml:space="preserve"> Measured</t>
    </r>
  </si>
  <si>
    <t>% ABV (approx)</t>
  </si>
  <si>
    <r>
      <rPr>
        <b/>
        <sz val="10"/>
        <color indexed="8"/>
        <rFont val="Times New Roman"/>
        <family val="1"/>
      </rPr>
      <t>OG</t>
    </r>
    <r>
      <rPr>
        <sz val="10"/>
        <color indexed="8"/>
        <rFont val="Times New Roman"/>
        <family val="1"/>
      </rPr>
      <t xml:space="preserve"> Corrected</t>
    </r>
  </si>
  <si>
    <t xml:space="preserve">Calibration Temp. </t>
  </si>
  <si>
    <r>
      <rPr>
        <b/>
        <sz val="10"/>
        <color indexed="8"/>
        <rFont val="Times New Roman"/>
        <family val="1"/>
      </rPr>
      <t>FG</t>
    </r>
    <r>
      <rPr>
        <sz val="10"/>
        <color indexed="8"/>
        <rFont val="Times New Roman"/>
        <family val="1"/>
      </rPr>
      <t xml:space="preserve"> Measured</t>
    </r>
  </si>
  <si>
    <r>
      <rPr>
        <b/>
        <sz val="10"/>
        <color indexed="8"/>
        <rFont val="Times New Roman"/>
        <family val="1"/>
      </rPr>
      <t>FG</t>
    </r>
    <r>
      <rPr>
        <sz val="10"/>
        <color indexed="8"/>
        <rFont val="Times New Roman"/>
        <family val="1"/>
      </rPr>
      <t xml:space="preserve"> Corrected</t>
    </r>
  </si>
  <si>
    <t>Simple ABV Estimator</t>
  </si>
  <si>
    <r>
      <t xml:space="preserve">NOTE:- Very </t>
    </r>
    <r>
      <rPr>
        <u/>
        <sz val="10"/>
        <rFont val="Times New Roman"/>
        <family val="1"/>
      </rPr>
      <t>inaccurate</t>
    </r>
    <r>
      <rPr>
        <sz val="10"/>
        <rFont val="Times New Roman"/>
        <family val="1"/>
      </rPr>
      <t xml:space="preserve"> for ABV's &gt; 80.</t>
    </r>
  </si>
  <si>
    <r>
      <t>Using the simpler `brewers degrees` - equal to (SG-1000)</t>
    </r>
    <r>
      <rPr>
        <sz val="11"/>
        <color rgb="FFFF0000"/>
        <rFont val="Times New Roman"/>
        <family val="1"/>
      </rPr>
      <t>°</t>
    </r>
    <r>
      <rPr>
        <sz val="10"/>
        <color rgb="FFFF0000"/>
        <rFont val="Times New Roman"/>
        <family val="1"/>
      </rPr>
      <t>. Example: a SG of 993 is represented by (993-1000 ) = -7</t>
    </r>
    <r>
      <rPr>
        <sz val="11"/>
        <color rgb="FFFF0000"/>
        <rFont val="Times New Roman"/>
        <family val="1"/>
      </rPr>
      <t>°</t>
    </r>
  </si>
  <si>
    <r>
      <t>(</t>
    </r>
    <r>
      <rPr>
        <sz val="11"/>
        <rFont val="Times New Roman"/>
        <family val="1"/>
      </rPr>
      <t>°</t>
    </r>
    <r>
      <rPr>
        <sz val="10"/>
        <rFont val="Times New Roman"/>
        <family val="1"/>
      </rPr>
      <t>Bx, P, B &amp; Bé)</t>
    </r>
  </si>
  <si>
    <r>
      <rPr>
        <sz val="11"/>
        <rFont val="Times New Roman"/>
        <family val="1"/>
      </rPr>
      <t>°</t>
    </r>
    <r>
      <rPr>
        <sz val="10"/>
        <rFont val="Times New Roman"/>
        <family val="1"/>
      </rPr>
      <t>Brix ̸ Plato ̸ Balling</t>
    </r>
  </si>
  <si>
    <t>Brix, Plato &amp; Balling are scales of sweetness based on sucrose solutions &amp; they give very similar results, to within a few decimal places &amp; therefore can be assumed to be the same for our purposes. The minimum amount of "sugar" that can be added is zero, hence the minimum value of the three scales is also zero.</t>
  </si>
  <si>
    <r>
      <t xml:space="preserve">Calibration temperatures &amp; wort/must temperatures are taken into account for </t>
    </r>
    <r>
      <rPr>
        <b/>
        <sz val="10"/>
        <color rgb="FFFF0000"/>
        <rFont val="Times New Roman"/>
        <family val="1"/>
      </rPr>
      <t>all</t>
    </r>
    <r>
      <rPr>
        <sz val="10"/>
        <color rgb="FFFF0000"/>
        <rFont val="Times New Roman"/>
        <family val="1"/>
      </rPr>
      <t xml:space="preserve"> SG readings.</t>
    </r>
  </si>
  <si>
    <r>
      <rPr>
        <b/>
        <sz val="11"/>
        <rFont val="Times New Roman"/>
        <family val="1"/>
      </rPr>
      <t>°</t>
    </r>
    <r>
      <rPr>
        <b/>
        <sz val="10"/>
        <rFont val="Times New Roman"/>
        <family val="1"/>
      </rPr>
      <t xml:space="preserve">C </t>
    </r>
  </si>
  <si>
    <r>
      <rPr>
        <sz val="12"/>
        <color rgb="FF7F7F7F"/>
        <rFont val="Times New Roman"/>
        <family val="1"/>
      </rPr>
      <t>°</t>
    </r>
    <r>
      <rPr>
        <sz val="10"/>
        <color rgb="FF7F7F7F"/>
        <rFont val="Times New Roman"/>
        <family val="1"/>
      </rPr>
      <t xml:space="preserve">F </t>
    </r>
  </si>
  <si>
    <r>
      <rPr>
        <sz val="11"/>
        <rFont val="Times New Roman"/>
        <family val="1"/>
      </rPr>
      <t>°</t>
    </r>
    <r>
      <rPr>
        <sz val="10"/>
        <rFont val="Times New Roman"/>
        <family val="1"/>
      </rPr>
      <t>C</t>
    </r>
  </si>
  <si>
    <r>
      <rPr>
        <sz val="11"/>
        <rFont val="Times New Roman"/>
        <family val="1"/>
      </rPr>
      <t>°</t>
    </r>
    <r>
      <rPr>
        <sz val="10"/>
        <rFont val="Times New Roman"/>
        <family val="1"/>
      </rPr>
      <t>F</t>
    </r>
  </si>
  <si>
    <r>
      <t>UK</t>
    </r>
    <r>
      <rPr>
        <b/>
        <sz val="11"/>
        <color rgb="FFFF0000"/>
        <rFont val="Times New Roman"/>
        <family val="1"/>
      </rPr>
      <t>°</t>
    </r>
  </si>
  <si>
    <r>
      <rPr>
        <sz val="11"/>
        <color indexed="8"/>
        <rFont val="Times New Roman"/>
        <family val="1"/>
      </rPr>
      <t>°</t>
    </r>
    <r>
      <rPr>
        <sz val="10"/>
        <color indexed="8"/>
        <rFont val="Times New Roman"/>
        <family val="1"/>
      </rPr>
      <t>C</t>
    </r>
  </si>
  <si>
    <r>
      <rPr>
        <sz val="11"/>
        <color indexed="8"/>
        <rFont val="Times New Roman"/>
        <family val="1"/>
      </rPr>
      <t>°</t>
    </r>
    <r>
      <rPr>
        <sz val="10"/>
        <color indexed="8"/>
        <rFont val="Times New Roman"/>
        <family val="1"/>
      </rPr>
      <t>F</t>
    </r>
  </si>
  <si>
    <r>
      <rPr>
        <sz val="11"/>
        <rFont val="Times New Roman"/>
        <family val="1"/>
      </rPr>
      <t>°</t>
    </r>
    <r>
      <rPr>
        <sz val="10"/>
        <rFont val="Times New Roman"/>
        <family val="1"/>
      </rPr>
      <t>Baumé</t>
    </r>
  </si>
  <si>
    <r>
      <t>CO</t>
    </r>
    <r>
      <rPr>
        <sz val="8"/>
        <rFont val="Times New Roman"/>
        <family val="1"/>
      </rPr>
      <t>2</t>
    </r>
    <r>
      <rPr>
        <sz val="10"/>
        <rFont val="Times New Roman"/>
        <family val="1"/>
      </rPr>
      <t xml:space="preserve"> ̸ litre</t>
    </r>
  </si>
  <si>
    <r>
      <t xml:space="preserve"> NOTE:- All temperatures are given in </t>
    </r>
    <r>
      <rPr>
        <sz val="11"/>
        <rFont val="Times New Roman"/>
        <family val="1"/>
      </rPr>
      <t>°</t>
    </r>
    <r>
      <rPr>
        <sz val="10"/>
        <rFont val="Times New Roman"/>
        <family val="1"/>
      </rPr>
      <t xml:space="preserve">Celsius.   As stated, these are only typical values, some wines may indeed have a different ideal temperatures ranges. </t>
    </r>
  </si>
  <si>
    <t>13-17</t>
  </si>
  <si>
    <t>16-18</t>
  </si>
  <si>
    <t>13-16</t>
  </si>
  <si>
    <t>10-14</t>
  </si>
  <si>
    <t>10-16</t>
  </si>
  <si>
    <t>8-12</t>
  </si>
  <si>
    <t>12-16</t>
  </si>
  <si>
    <t>10-12</t>
  </si>
  <si>
    <t>7-11</t>
  </si>
  <si>
    <t>6-10</t>
  </si>
  <si>
    <t>6-11</t>
  </si>
  <si>
    <r>
      <t xml:space="preserve"> Generally, 1</t>
    </r>
    <r>
      <rPr>
        <sz val="11"/>
        <rFont val="Times New Roman"/>
        <family val="1"/>
      </rPr>
      <t>°</t>
    </r>
    <r>
      <rPr>
        <sz val="10"/>
        <rFont val="Times New Roman"/>
        <family val="1"/>
      </rPr>
      <t>P is considered as 1004 (or just 4 brewers degrees) SG.</t>
    </r>
  </si>
  <si>
    <r>
      <t>SG of ethyl alcohol at 20</t>
    </r>
    <r>
      <rPr>
        <sz val="11"/>
        <rFont val="Times New Roman"/>
        <family val="1"/>
      </rPr>
      <t>°</t>
    </r>
    <r>
      <rPr>
        <sz val="10"/>
        <rFont val="Times New Roman"/>
        <family val="1"/>
      </rPr>
      <t>C =</t>
    </r>
  </si>
  <si>
    <r>
      <t>Kg ̸ m</t>
    </r>
    <r>
      <rPr>
        <sz val="12"/>
        <rFont val="Times New Roman"/>
        <family val="1"/>
      </rPr>
      <t>³</t>
    </r>
    <r>
      <rPr>
        <sz val="10"/>
        <rFont val="Times New Roman"/>
        <family val="1"/>
      </rPr>
      <t xml:space="preserve"> </t>
    </r>
  </si>
  <si>
    <r>
      <rPr>
        <sz val="11"/>
        <rFont val="Times New Roman"/>
        <family val="1"/>
      </rPr>
      <t>°</t>
    </r>
    <r>
      <rPr>
        <sz val="10"/>
        <rFont val="Times New Roman"/>
        <family val="1"/>
      </rPr>
      <t>C (Max. 30)</t>
    </r>
  </si>
  <si>
    <r>
      <rPr>
        <sz val="12"/>
        <rFont val="Times New Roman"/>
        <family val="1"/>
      </rPr>
      <t>°</t>
    </r>
    <r>
      <rPr>
        <sz val="10"/>
        <rFont val="Times New Roman"/>
        <family val="1"/>
      </rPr>
      <t xml:space="preserve">C </t>
    </r>
  </si>
  <si>
    <r>
      <t xml:space="preserve">    </t>
    </r>
    <r>
      <rPr>
        <sz val="12"/>
        <color rgb="FF3366FF"/>
        <rFont val="Times New Roman"/>
        <family val="1"/>
      </rPr>
      <t>↑</t>
    </r>
    <r>
      <rPr>
        <sz val="10"/>
        <rFont val="Arial"/>
        <family val="2"/>
      </rPr>
      <t xml:space="preserve"> This </t>
    </r>
    <r>
      <rPr>
        <sz val="10"/>
        <color rgb="FF3366FF"/>
        <rFont val="Arial"/>
        <family val="2"/>
      </rPr>
      <t>latter figure</t>
    </r>
    <r>
      <rPr>
        <sz val="10"/>
        <rFont val="Arial"/>
        <family val="2"/>
      </rPr>
      <t xml:space="preserve"> includes pulp, lees, syphoning losses &amp; an allowance for any sweetening ̸ priming sugars used for that "Final Vol".</t>
    </r>
  </si>
  <si>
    <t>Using the simpler "brewers degrees"</t>
  </si>
  <si>
    <t>Temperatures are NOT taken into considaration in these two calc's.</t>
  </si>
  <si>
    <r>
      <t>BANANA</t>
    </r>
    <r>
      <rPr>
        <sz val="10"/>
        <color rgb="FFFF0000"/>
        <rFont val="Times New Roman"/>
        <family val="1"/>
      </rPr>
      <t xml:space="preserve"> - </t>
    </r>
    <r>
      <rPr>
        <b/>
        <sz val="10"/>
        <color rgb="FFFF0000"/>
        <rFont val="Arial"/>
        <family val="2"/>
      </rPr>
      <t>NO SKINS!</t>
    </r>
  </si>
  <si>
    <r>
      <t xml:space="preserve">LEMON </t>
    </r>
    <r>
      <rPr>
        <sz val="10"/>
        <color rgb="FFFF0000"/>
        <rFont val="Arial"/>
        <family val="2"/>
      </rPr>
      <t>(1 fruit ≈ 30ml juice)</t>
    </r>
  </si>
  <si>
    <r>
      <rPr>
        <b/>
        <sz val="11"/>
        <color rgb="FFFF0000"/>
        <rFont val="Arial"/>
        <family val="2"/>
      </rPr>
      <t>Disclaimer:</t>
    </r>
    <r>
      <rPr>
        <sz val="11"/>
        <rFont val="Arial"/>
        <family val="2"/>
      </rPr>
      <t xml:space="preserve"> E&amp;OE. No responsibility is assumed or implied as a result of using this spreadsheet.</t>
    </r>
  </si>
  <si>
    <r>
      <t>Inc. Volume CO</t>
    </r>
    <r>
      <rPr>
        <sz val="8"/>
        <rFont val="Times New Roman"/>
        <family val="1"/>
      </rPr>
      <t xml:space="preserve">2 </t>
    </r>
    <r>
      <rPr>
        <sz val="12"/>
        <rFont val="Times New Roman"/>
        <family val="1"/>
      </rPr>
      <t xml:space="preserve"> Converters to PSI or Atm. or Bar </t>
    </r>
  </si>
  <si>
    <t>Wine /Cider Style</t>
  </si>
  <si>
    <t>Some Typical  Serving Temperatures.</t>
  </si>
  <si>
    <t>Pete's Jam Calculator</t>
  </si>
  <si>
    <r>
      <t>Split the racked wine'cider ̸beer into two parts, "Vol. 1" &amp; "Vol. 2". Heat "Vol. 2" for 25-30 mins at a temperature of between 80-85</t>
    </r>
    <r>
      <rPr>
        <sz val="11"/>
        <rFont val="Times New Roman"/>
        <family val="1"/>
      </rPr>
      <t>°</t>
    </r>
    <r>
      <rPr>
        <sz val="10"/>
        <rFont val="Times New Roman"/>
        <family val="1"/>
      </rPr>
      <t>C (ethyl alcohol boils at about 78</t>
    </r>
    <r>
      <rPr>
        <sz val="11"/>
        <rFont val="Times New Roman"/>
        <family val="1"/>
      </rPr>
      <t>°</t>
    </r>
    <r>
      <rPr>
        <sz val="10"/>
        <rFont val="Times New Roman"/>
        <family val="1"/>
      </rPr>
      <t>C). After heating this reduced vol. becomes "Vol. 3" which may be topped-up as required .When cool, mix the wines/ciders, prime as required &amp; bottle.</t>
    </r>
  </si>
  <si>
    <t xml:space="preserve">Cals ̸ </t>
  </si>
  <si>
    <t xml:space="preserve">Carbs ̸ </t>
  </si>
  <si>
    <r>
      <t xml:space="preserve">Temp. </t>
    </r>
    <r>
      <rPr>
        <b/>
        <sz val="11"/>
        <color indexed="8"/>
        <rFont val="Times New Roman"/>
        <family val="1"/>
      </rPr>
      <t>°</t>
    </r>
    <r>
      <rPr>
        <b/>
        <sz val="10"/>
        <color indexed="8"/>
        <rFont val="Times New Roman"/>
        <family val="1"/>
      </rPr>
      <t>C</t>
    </r>
  </si>
  <si>
    <t>Beer, Wine &amp; Spirit Freezing Point</t>
  </si>
  <si>
    <t>Conker &amp; Cabbage Mead</t>
  </si>
  <si>
    <r>
      <t>US</t>
    </r>
    <r>
      <rPr>
        <b/>
        <sz val="11"/>
        <color rgb="FFFF00FF"/>
        <rFont val="Times New Roman"/>
        <family val="1"/>
      </rPr>
      <t>°</t>
    </r>
  </si>
  <si>
    <r>
      <t xml:space="preserve">UK </t>
    </r>
    <r>
      <rPr>
        <b/>
        <u/>
        <sz val="12"/>
        <rFont val="Times New Roman"/>
        <family val="1"/>
      </rPr>
      <t>Proof &amp; % Converters</t>
    </r>
  </si>
  <si>
    <r>
      <t>UK</t>
    </r>
    <r>
      <rPr>
        <b/>
        <sz val="10"/>
        <color theme="1"/>
        <rFont val="Times New Roman"/>
        <family val="1"/>
      </rPr>
      <t xml:space="preserve"> ̸ </t>
    </r>
    <r>
      <rPr>
        <b/>
        <sz val="10"/>
        <color rgb="FFFF00FF"/>
        <rFont val="Times New Roman"/>
        <family val="1"/>
      </rPr>
      <t>US</t>
    </r>
    <r>
      <rPr>
        <b/>
        <sz val="10"/>
        <color indexed="10"/>
        <rFont val="Times New Roman"/>
        <family val="1"/>
      </rPr>
      <t xml:space="preserve"> </t>
    </r>
    <r>
      <rPr>
        <b/>
        <sz val="10"/>
        <color theme="1"/>
        <rFont val="Times New Roman"/>
        <family val="1"/>
      </rPr>
      <t>Proof Converters</t>
    </r>
  </si>
  <si>
    <r>
      <t xml:space="preserve">Proof max. </t>
    </r>
    <r>
      <rPr>
        <sz val="10"/>
        <color rgb="FFFF0000"/>
        <rFont val="Times New Roman"/>
        <family val="1"/>
      </rPr>
      <t>UK 175</t>
    </r>
    <r>
      <rPr>
        <sz val="11"/>
        <color rgb="FFFF0000"/>
        <rFont val="Times New Roman"/>
        <family val="1"/>
      </rPr>
      <t>°</t>
    </r>
    <r>
      <rPr>
        <sz val="10"/>
        <color indexed="8"/>
        <rFont val="Times New Roman"/>
        <family val="1"/>
      </rPr>
      <t xml:space="preserve"> ̸ </t>
    </r>
    <r>
      <rPr>
        <sz val="10"/>
        <color rgb="FFFF00FF"/>
        <rFont val="Times New Roman"/>
        <family val="1"/>
      </rPr>
      <t>USA 200</t>
    </r>
    <r>
      <rPr>
        <sz val="11"/>
        <color rgb="FFFF00FF"/>
        <rFont val="Times New Roman"/>
        <family val="1"/>
      </rPr>
      <t>°</t>
    </r>
    <r>
      <rPr>
        <sz val="10"/>
        <color indexed="8"/>
        <rFont val="Times New Roman"/>
        <family val="1"/>
      </rPr>
      <t xml:space="preserve">. All temperatures are assumed to be at around 20°C. </t>
    </r>
    <r>
      <rPr>
        <sz val="10"/>
        <color rgb="FFFF0000"/>
        <rFont val="Times New Roman"/>
        <family val="1"/>
      </rPr>
      <t>Just try other calc's for 100% ABV or 100% ABW!</t>
    </r>
    <r>
      <rPr>
        <sz val="10"/>
        <color indexed="8"/>
        <rFont val="Times New Roman"/>
        <family val="1"/>
      </rPr>
      <t xml:space="preserve"> (BUT, to me, 100% ABV implies 100% ABW.)</t>
    </r>
  </si>
  <si>
    <r>
      <t>fl oz</t>
    </r>
    <r>
      <rPr>
        <sz val="10"/>
        <color rgb="FFFF0000"/>
        <rFont val="Times New Roman"/>
        <family val="1"/>
      </rPr>
      <t xml:space="preserve"> Imp</t>
    </r>
  </si>
  <si>
    <r>
      <t xml:space="preserve">6 US galls = </t>
    </r>
    <r>
      <rPr>
        <sz val="10"/>
        <rFont val="Times New Roman"/>
        <family val="1"/>
      </rPr>
      <t>5 UK galls ≈ 22.7 litres</t>
    </r>
  </si>
  <si>
    <r>
      <rPr>
        <sz val="10"/>
        <color rgb="FFFF0000"/>
        <rFont val="Times New Roman"/>
        <family val="1"/>
      </rPr>
      <t>UK</t>
    </r>
    <r>
      <rPr>
        <sz val="10"/>
        <rFont val="Times New Roman"/>
        <family val="1"/>
      </rPr>
      <t xml:space="preserve"> Pt.</t>
    </r>
  </si>
  <si>
    <t>Version 4.0</t>
  </si>
  <si>
    <t>Rosé</t>
  </si>
  <si>
    <t>1~4~'2</t>
  </si>
  <si>
    <t>BMI &amp;  Waist to Height Ratio Calculators</t>
  </si>
  <si>
    <r>
      <t>BMI Calculator</t>
    </r>
    <r>
      <rPr>
        <b/>
        <sz val="12"/>
        <rFont val="Times New Roman"/>
        <family val="1"/>
      </rPr>
      <t xml:space="preserve">                                                                                                            </t>
    </r>
    <r>
      <rPr>
        <b/>
        <u/>
        <sz val="12"/>
        <rFont val="Times New Roman"/>
        <family val="1"/>
      </rPr>
      <t>Waist to Height Ratio Calculator</t>
    </r>
  </si>
  <si>
    <t>MOST THE ABOVE CELLS  ARE EDITABLE</t>
  </si>
  <si>
    <r>
      <t xml:space="preserve">LOWICZ SYRUP </t>
    </r>
    <r>
      <rPr>
        <sz val="8"/>
        <color theme="0" tint="-0.499984740745262"/>
        <rFont val="Times New Roman"/>
        <family val="1"/>
      </rPr>
      <t>(Rasp. / Cherry )</t>
    </r>
  </si>
  <si>
    <t>Priming sugar used</t>
  </si>
  <si>
    <t>This is equivalent to</t>
  </si>
  <si>
    <t>Version 5.Xmas</t>
  </si>
  <si>
    <t>25~12~'20</t>
  </si>
  <si>
    <r>
      <rPr>
        <b/>
        <sz val="10"/>
        <color rgb="FFCC00FF"/>
        <rFont val="Times New Roman"/>
        <family val="1"/>
      </rPr>
      <t>US</t>
    </r>
    <r>
      <rPr>
        <sz val="10"/>
        <color indexed="8"/>
        <rFont val="Times New Roman"/>
        <family val="1"/>
      </rPr>
      <t xml:space="preserve"> Gall.</t>
    </r>
  </si>
  <si>
    <r>
      <rPr>
        <b/>
        <sz val="10"/>
        <color rgb="FFFF0000"/>
        <rFont val="Times New Roman"/>
        <family val="1"/>
      </rPr>
      <t>UK</t>
    </r>
    <r>
      <rPr>
        <sz val="10"/>
        <color indexed="8"/>
        <rFont val="Times New Roman"/>
        <family val="1"/>
      </rPr>
      <t xml:space="preserve"> Gall.</t>
    </r>
  </si>
  <si>
    <r>
      <rPr>
        <b/>
        <sz val="10"/>
        <color rgb="FFFF0000"/>
        <rFont val="Times New Roman"/>
        <family val="1"/>
      </rPr>
      <t>US</t>
    </r>
    <r>
      <rPr>
        <b/>
        <sz val="10"/>
        <rFont val="Times New Roman"/>
        <family val="1"/>
      </rPr>
      <t xml:space="preserve"> </t>
    </r>
    <r>
      <rPr>
        <sz val="10"/>
        <rFont val="Times New Roman"/>
        <family val="1"/>
      </rPr>
      <t>Gall.</t>
    </r>
  </si>
  <si>
    <r>
      <rPr>
        <b/>
        <sz val="10"/>
        <color rgb="FFFF0000"/>
        <rFont val="Times New Roman"/>
        <family val="1"/>
      </rPr>
      <t>UK</t>
    </r>
    <r>
      <rPr>
        <sz val="10"/>
        <rFont val="Times New Roman"/>
        <family val="1"/>
      </rPr>
      <t xml:space="preserve"> Gall.</t>
    </r>
  </si>
  <si>
    <r>
      <rPr>
        <b/>
        <sz val="10"/>
        <color rgb="FFFF0000"/>
        <rFont val="Times New Roman"/>
        <family val="1"/>
      </rPr>
      <t>US</t>
    </r>
    <r>
      <rPr>
        <sz val="10"/>
        <rFont val="Times New Roman"/>
        <family val="1"/>
      </rPr>
      <t xml:space="preserve"> Gall.</t>
    </r>
  </si>
  <si>
    <r>
      <rPr>
        <b/>
        <sz val="10"/>
        <color rgb="FFCC00FF"/>
        <rFont val="Times New Roman"/>
        <family val="1"/>
      </rPr>
      <t>US</t>
    </r>
    <r>
      <rPr>
        <b/>
        <sz val="10"/>
        <color indexed="8"/>
        <rFont val="Times New Roman"/>
        <family val="1"/>
      </rPr>
      <t xml:space="preserve"> </t>
    </r>
    <r>
      <rPr>
        <sz val="10"/>
        <color indexed="8"/>
        <rFont val="Times New Roman"/>
        <family val="1"/>
      </rPr>
      <t>Pt.</t>
    </r>
  </si>
  <si>
    <r>
      <rPr>
        <b/>
        <sz val="10"/>
        <color rgb="FFFF0000"/>
        <rFont val="Times New Roman"/>
        <family val="1"/>
      </rPr>
      <t>UK</t>
    </r>
    <r>
      <rPr>
        <sz val="10"/>
        <rFont val="Times New Roman"/>
        <family val="1"/>
      </rPr>
      <t xml:space="preserve"> Pt.</t>
    </r>
  </si>
  <si>
    <r>
      <t xml:space="preserve">lb ̸ gall. </t>
    </r>
    <r>
      <rPr>
        <b/>
        <sz val="10"/>
        <color rgb="FFFF0000"/>
        <rFont val="Times New Roman"/>
        <family val="1"/>
      </rPr>
      <t>UK</t>
    </r>
  </si>
  <si>
    <r>
      <t xml:space="preserve">oz ̸ pt. </t>
    </r>
    <r>
      <rPr>
        <b/>
        <sz val="10"/>
        <color rgb="FFFF0000"/>
        <rFont val="Times New Roman"/>
        <family val="1"/>
      </rPr>
      <t>UK</t>
    </r>
  </si>
  <si>
    <r>
      <t>fl oz</t>
    </r>
    <r>
      <rPr>
        <sz val="10"/>
        <color rgb="FFFF0000"/>
        <rFont val="Times New Roman"/>
        <family val="1"/>
      </rPr>
      <t xml:space="preserve"> </t>
    </r>
    <r>
      <rPr>
        <b/>
        <sz val="10"/>
        <color rgb="FFFF0000"/>
        <rFont val="Times New Roman"/>
        <family val="1"/>
      </rPr>
      <t>UK</t>
    </r>
  </si>
  <si>
    <r>
      <t xml:space="preserve">fl oz </t>
    </r>
    <r>
      <rPr>
        <b/>
        <sz val="10"/>
        <color rgb="FFFF00FF"/>
        <rFont val="Times New Roman"/>
        <family val="1"/>
      </rPr>
      <t>US</t>
    </r>
  </si>
  <si>
    <r>
      <t>oz ̸ pt</t>
    </r>
    <r>
      <rPr>
        <b/>
        <sz val="10"/>
        <color rgb="FFFF00FF"/>
        <rFont val="Times New Roman"/>
        <family val="1"/>
      </rPr>
      <t xml:space="preserve"> US</t>
    </r>
  </si>
  <si>
    <r>
      <t>lb ̸ gall.</t>
    </r>
    <r>
      <rPr>
        <b/>
        <sz val="10"/>
        <color rgb="FFFF00FF"/>
        <rFont val="Times New Roman"/>
        <family val="1"/>
      </rPr>
      <t xml:space="preserve"> US</t>
    </r>
  </si>
  <si>
    <r>
      <rPr>
        <u/>
        <sz val="10"/>
        <rFont val="Times New Roman"/>
        <family val="1"/>
      </rPr>
      <t xml:space="preserve">&amp; </t>
    </r>
    <r>
      <rPr>
        <b/>
        <sz val="10"/>
        <color rgb="FFFF0000"/>
        <rFont val="Times New Roman"/>
        <family val="1"/>
      </rPr>
      <t>US</t>
    </r>
  </si>
  <si>
    <r>
      <rPr>
        <b/>
        <sz val="10"/>
        <color rgb="FFFF00FF"/>
        <rFont val="Times New Roman"/>
        <family val="1"/>
      </rPr>
      <t>US</t>
    </r>
    <r>
      <rPr>
        <sz val="10"/>
        <color rgb="FF000000"/>
        <rFont val="Arial"/>
        <family val="2"/>
      </rPr>
      <t xml:space="preserve"> fl oz</t>
    </r>
  </si>
  <si>
    <t>For</t>
  </si>
  <si>
    <r>
      <rPr>
        <b/>
        <sz val="10"/>
        <color rgb="FFFF0000"/>
        <rFont val="Times New Roman"/>
        <family val="1"/>
      </rPr>
      <t>UK</t>
    </r>
    <r>
      <rPr>
        <sz val="10"/>
        <color rgb="FFFF0000"/>
        <rFont val="Times New Roman"/>
        <family val="1"/>
      </rPr>
      <t xml:space="preserve"> </t>
    </r>
    <r>
      <rPr>
        <sz val="10"/>
        <color rgb="FF000000"/>
        <rFont val="Arial"/>
        <family val="2"/>
      </rPr>
      <t>pt</t>
    </r>
  </si>
  <si>
    <t>Hello!</t>
  </si>
  <si>
    <t>Poo!</t>
  </si>
  <si>
    <t>Fatty!</t>
  </si>
  <si>
    <t>Jammy!</t>
  </si>
  <si>
    <t>Hello cheeky!</t>
  </si>
  <si>
    <t xml:space="preserve"> =(-0.0684226,POWER(D66,-1.55082))),1)</t>
  </si>
  <si>
    <t xml:space="preserve"> =HOOKUP(H5,'Data Sheet'!AFf:AG36,^v)</t>
  </si>
  <si>
    <t>I love Glenys Vicars!</t>
  </si>
</sst>
</file>

<file path=xl/styles.xml><?xml version="1.0" encoding="utf-8"?>
<styleSheet xmlns="http://schemas.openxmlformats.org/spreadsheetml/2006/main">
  <numFmts count="13">
    <numFmt numFmtId="164" formatCode="[$£-809]* \ #,##0.00"/>
    <numFmt numFmtId="165" formatCode="0.0"/>
    <numFmt numFmtId="166" formatCode="0.000"/>
    <numFmt numFmtId="167" formatCode="0\ ;[Red]0\ "/>
    <numFmt numFmtId="168" formatCode="0.00\ ;[Red]0.00\ "/>
    <numFmt numFmtId="169" formatCode="&quot;£&quot;#,##0.00"/>
    <numFmt numFmtId="170" formatCode="0.0000"/>
    <numFmt numFmtId="171" formatCode="&quot;$&quot;#,##0.00"/>
    <numFmt numFmtId="172" formatCode="0.00_ ;[Red]\-0.00\ "/>
    <numFmt numFmtId="173" formatCode="0.0%"/>
    <numFmt numFmtId="174" formatCode="#,##0.0"/>
    <numFmt numFmtId="175" formatCode="#,##0.000"/>
    <numFmt numFmtId="176" formatCode="0.00000"/>
  </numFmts>
  <fonts count="236">
    <font>
      <sz val="10"/>
      <name val="Arial"/>
      <family val="2"/>
    </font>
    <font>
      <sz val="11"/>
      <color theme="1"/>
      <name val="Calibri"/>
      <family val="2"/>
      <scheme val="minor"/>
    </font>
    <font>
      <sz val="11"/>
      <color theme="1"/>
      <name val="Calibri"/>
      <family val="2"/>
      <scheme val="minor"/>
    </font>
    <font>
      <sz val="11"/>
      <name val="Times New Roman"/>
      <family val="1"/>
    </font>
    <font>
      <sz val="11"/>
      <name val="Calibri"/>
      <family val="2"/>
    </font>
    <font>
      <sz val="10"/>
      <name val="Arial"/>
      <family val="2"/>
    </font>
    <font>
      <sz val="12"/>
      <name val="Times New Roman"/>
      <family val="1"/>
    </font>
    <font>
      <sz val="10.5"/>
      <name val="Times New Roman"/>
      <family val="1"/>
    </font>
    <font>
      <sz val="8"/>
      <color rgb="FFC0C0C0"/>
      <name val="Times New Roman"/>
      <family val="1"/>
    </font>
    <font>
      <b/>
      <u/>
      <sz val="14"/>
      <name val="Times New Roman"/>
      <family val="1"/>
    </font>
    <font>
      <sz val="10.5"/>
      <color rgb="FFFFFFFF"/>
      <name val="Times New Roman"/>
      <family val="1"/>
    </font>
    <font>
      <sz val="8"/>
      <color rgb="FF969696"/>
      <name val="Times New Roman"/>
      <family val="1"/>
    </font>
    <font>
      <sz val="10.5"/>
      <color rgb="FFFF0000"/>
      <name val="Times New Roman"/>
      <family val="1"/>
    </font>
    <font>
      <sz val="9"/>
      <color rgb="FFFF0000"/>
      <name val="Times New Roman"/>
      <family val="1"/>
    </font>
    <font>
      <sz val="8"/>
      <name val="Times New Roman"/>
      <family val="1"/>
    </font>
    <font>
      <sz val="8"/>
      <color rgb="FF808080"/>
      <name val="Times New Roman"/>
      <family val="1"/>
    </font>
    <font>
      <u/>
      <sz val="8"/>
      <color rgb="FF0000FF"/>
      <name val="Times New Roman"/>
      <family val="1"/>
    </font>
    <font>
      <sz val="10"/>
      <name val="Times New Roman"/>
      <family val="1"/>
    </font>
    <font>
      <sz val="11"/>
      <color rgb="FFFF0000"/>
      <name val="Times New Roman"/>
      <family val="1"/>
    </font>
    <font>
      <sz val="9"/>
      <name val="Times New Roman"/>
      <family val="1"/>
    </font>
    <font>
      <sz val="10"/>
      <color rgb="FF969696"/>
      <name val="Times New Roman"/>
      <family val="1"/>
    </font>
    <font>
      <sz val="10"/>
      <color rgb="FFFF0000"/>
      <name val="Times New Roman"/>
      <family val="1"/>
    </font>
    <font>
      <u/>
      <sz val="11"/>
      <color rgb="FF0000FF"/>
      <name val="Times New Roman"/>
      <family val="1"/>
    </font>
    <font>
      <b/>
      <sz val="10"/>
      <color rgb="FFFF0000"/>
      <name val="Times New Roman"/>
      <family val="1"/>
    </font>
    <font>
      <b/>
      <sz val="10"/>
      <name val="Times New Roman"/>
      <family val="1"/>
    </font>
    <font>
      <b/>
      <u/>
      <sz val="12"/>
      <name val="Times New Roman"/>
      <family val="1"/>
    </font>
    <font>
      <b/>
      <sz val="7"/>
      <color rgb="FFFF0000"/>
      <name val="Times New Roman"/>
      <family val="1"/>
    </font>
    <font>
      <b/>
      <u/>
      <sz val="10"/>
      <name val="Times New Roman"/>
      <family val="1"/>
    </font>
    <font>
      <b/>
      <u/>
      <sz val="11"/>
      <name val="Times New Roman"/>
      <family val="1"/>
    </font>
    <font>
      <u/>
      <sz val="10"/>
      <name val="Times New Roman"/>
      <family val="1"/>
    </font>
    <font>
      <b/>
      <sz val="11"/>
      <color rgb="FFFF0000"/>
      <name val="Times New Roman"/>
      <family val="1"/>
    </font>
    <font>
      <sz val="7"/>
      <name val="Times New Roman"/>
      <family val="1"/>
    </font>
    <font>
      <b/>
      <sz val="11"/>
      <color rgb="FFFF9900"/>
      <name val="Calibri"/>
      <family val="2"/>
    </font>
    <font>
      <b/>
      <sz val="13"/>
      <color rgb="FF003366"/>
      <name val="Calibri"/>
      <family val="2"/>
    </font>
    <font>
      <b/>
      <sz val="15"/>
      <color rgb="FF003366"/>
      <name val="Calibri"/>
      <family val="2"/>
    </font>
    <font>
      <sz val="11"/>
      <name val="Book Antiqua"/>
      <family val="1"/>
    </font>
    <font>
      <sz val="11"/>
      <color rgb="FF333399"/>
      <name val="Calibri"/>
      <family val="2"/>
    </font>
    <font>
      <b/>
      <sz val="11"/>
      <color rgb="FF333333"/>
      <name val="Calibri"/>
      <family val="2"/>
    </font>
    <font>
      <b/>
      <sz val="11"/>
      <name val="Calibri"/>
      <family val="2"/>
    </font>
    <font>
      <b/>
      <sz val="12"/>
      <color rgb="FFFF0000"/>
      <name val="Times New Roman"/>
      <family val="1"/>
    </font>
    <font>
      <b/>
      <sz val="10"/>
      <color rgb="FFFF0000"/>
      <name val="Arial"/>
      <family val="2"/>
    </font>
    <font>
      <sz val="10"/>
      <color rgb="FFC0C0C0"/>
      <name val="Times New Roman"/>
      <family val="1"/>
    </font>
    <font>
      <sz val="9"/>
      <color rgb="FF969696"/>
      <name val="Times New Roman"/>
      <family val="1"/>
    </font>
    <font>
      <u/>
      <sz val="10"/>
      <color rgb="FF0000FF"/>
      <name val="Times New Roman"/>
      <family val="1"/>
    </font>
    <font>
      <b/>
      <u/>
      <sz val="10.5"/>
      <name val="Times New Roman"/>
      <family val="1"/>
    </font>
    <font>
      <sz val="10"/>
      <color rgb="FF808080"/>
      <name val="Times New Roman"/>
      <family val="1"/>
    </font>
    <font>
      <sz val="10"/>
      <color rgb="FF666699"/>
      <name val="Times New Roman"/>
      <family val="1"/>
    </font>
    <font>
      <sz val="10"/>
      <color rgb="FFFFFFFF"/>
      <name val="Times New Roman"/>
      <family val="1"/>
    </font>
    <font>
      <b/>
      <sz val="16"/>
      <color rgb="FFC0C0C0"/>
      <name val="Times New Roman"/>
      <family val="1"/>
    </font>
    <font>
      <u/>
      <sz val="7"/>
      <color rgb="FF0000FF"/>
      <name val="Times New Roman"/>
      <family val="1"/>
    </font>
    <font>
      <sz val="9.5"/>
      <name val="Times New Roman"/>
      <family val="1"/>
    </font>
    <font>
      <b/>
      <u/>
      <sz val="20"/>
      <name val="Times New Roman"/>
      <family val="1"/>
    </font>
    <font>
      <u/>
      <sz val="16"/>
      <color rgb="FF0000FF"/>
      <name val="Times New Roman"/>
      <family val="1"/>
    </font>
    <font>
      <sz val="7.5"/>
      <name val="Times New Roman"/>
      <family val="1"/>
    </font>
    <font>
      <b/>
      <sz val="60"/>
      <color rgb="FF800080"/>
      <name val="Times New Roman"/>
      <family val="1"/>
    </font>
    <font>
      <b/>
      <u/>
      <sz val="12"/>
      <color rgb="FFFF0000"/>
      <name val="Times New Roman"/>
      <family val="1"/>
    </font>
    <font>
      <sz val="10"/>
      <name val="Sugarskin BTN"/>
      <family val="2"/>
    </font>
    <font>
      <sz val="10"/>
      <color rgb="FFFF6600"/>
      <name val="Times New Roman"/>
      <family val="1"/>
    </font>
    <font>
      <b/>
      <u/>
      <sz val="10.5"/>
      <color rgb="FFFF0000"/>
      <name val="Times New Roman"/>
      <family val="1"/>
    </font>
    <font>
      <sz val="6"/>
      <name val="Times New Roman"/>
      <family val="1"/>
    </font>
    <font>
      <u/>
      <sz val="10"/>
      <color rgb="FFFF0000"/>
      <name val="Times New Roman"/>
      <family val="1"/>
    </font>
    <font>
      <sz val="6.5"/>
      <name val="Times New Roman"/>
      <family val="1"/>
    </font>
    <font>
      <b/>
      <u/>
      <sz val="16"/>
      <name val="Arial"/>
      <family val="2"/>
    </font>
    <font>
      <sz val="10"/>
      <color rgb="FF969696"/>
      <name val="Arial"/>
      <family val="2"/>
    </font>
    <font>
      <b/>
      <u/>
      <sz val="10"/>
      <name val="Arial"/>
      <family val="2"/>
    </font>
    <font>
      <sz val="8"/>
      <color rgb="FFC0C0C0"/>
      <name val="Arial"/>
      <family val="2"/>
    </font>
    <font>
      <sz val="11"/>
      <name val="Arial"/>
      <family val="2"/>
    </font>
    <font>
      <sz val="8"/>
      <color rgb="FF969696"/>
      <name val="Arial"/>
      <family val="2"/>
    </font>
    <font>
      <u/>
      <sz val="20"/>
      <color rgb="FF0000FF"/>
      <name val="Times New Roman"/>
      <family val="1"/>
    </font>
    <font>
      <b/>
      <i/>
      <u/>
      <sz val="10"/>
      <color rgb="FFFF0000"/>
      <name val="Times New Roman"/>
      <family val="1"/>
    </font>
    <font>
      <b/>
      <sz val="9"/>
      <name val="Times New Roman"/>
      <family val="1"/>
    </font>
    <font>
      <b/>
      <sz val="9"/>
      <color rgb="FFFF0000"/>
      <name val="Times New Roman"/>
      <family val="1"/>
    </font>
    <font>
      <b/>
      <i/>
      <sz val="10"/>
      <color rgb="FFFF0000"/>
      <name val="Times New Roman"/>
      <family val="1"/>
    </font>
    <font>
      <sz val="10"/>
      <color rgb="FF333333"/>
      <name val="Times New Roman"/>
      <family val="1"/>
    </font>
    <font>
      <u/>
      <sz val="11"/>
      <name val="Times New Roman"/>
      <family val="1"/>
    </font>
    <font>
      <b/>
      <u/>
      <sz val="10.5"/>
      <color rgb="FF808080"/>
      <name val="Times New Roman"/>
      <family val="1"/>
    </font>
    <font>
      <sz val="10.5"/>
      <color rgb="FF808080"/>
      <name val="Times New Roman"/>
      <family val="1"/>
    </font>
    <font>
      <sz val="11"/>
      <color rgb="FF808080"/>
      <name val="Times New Roman"/>
      <family val="1"/>
    </font>
    <font>
      <b/>
      <sz val="14"/>
      <color rgb="FFFF0000"/>
      <name val="Times New Roman"/>
      <family val="1"/>
    </font>
    <font>
      <b/>
      <u/>
      <sz val="9"/>
      <name val="Times New Roman"/>
      <family val="1"/>
    </font>
    <font>
      <sz val="9.5"/>
      <color rgb="FFFF0000"/>
      <name val="Times New Roman"/>
      <family val="1"/>
    </font>
    <font>
      <b/>
      <u/>
      <sz val="10"/>
      <color rgb="FFFF0000"/>
      <name val="Times New Roman"/>
      <family val="1"/>
    </font>
    <font>
      <sz val="10"/>
      <color rgb="FF585858"/>
      <name val="Times New Roman"/>
      <family val="1"/>
    </font>
    <font>
      <sz val="10"/>
      <color rgb="FF7E7E7E"/>
      <name val="Times New Roman"/>
      <family val="1"/>
    </font>
    <font>
      <b/>
      <u/>
      <sz val="11.5"/>
      <name val="Times New Roman"/>
      <family val="1"/>
    </font>
    <font>
      <b/>
      <u/>
      <sz val="10"/>
      <color rgb="FFFF00FF"/>
      <name val="Times New Roman"/>
      <family val="1"/>
    </font>
    <font>
      <sz val="10"/>
      <color rgb="FFFF00FF"/>
      <name val="Times New Roman"/>
      <family val="1"/>
    </font>
    <font>
      <sz val="10"/>
      <color rgb="FF339966"/>
      <name val="Times New Roman"/>
      <family val="1"/>
    </font>
    <font>
      <sz val="9"/>
      <color rgb="FF7E7E7E"/>
      <name val="Times New Roman"/>
      <family val="1"/>
    </font>
    <font>
      <sz val="10"/>
      <color rgb="FF7F7F7F"/>
      <name val="Times New Roman"/>
      <family val="1"/>
    </font>
    <font>
      <b/>
      <sz val="16"/>
      <color rgb="FFFF0000"/>
      <name val="Times New Roman"/>
      <family val="1"/>
    </font>
    <font>
      <sz val="10"/>
      <color rgb="FFF2F2F2"/>
      <name val="Times New Roman"/>
      <family val="1"/>
    </font>
    <font>
      <sz val="10"/>
      <color rgb="FFA5A5A5"/>
      <name val="Times New Roman"/>
      <family val="1"/>
    </font>
    <font>
      <sz val="10"/>
      <color rgb="FF339933"/>
      <name val="Times New Roman"/>
      <family val="1"/>
    </font>
    <font>
      <sz val="10.5"/>
      <color rgb="FF7F7F7F"/>
      <name val="Times New Roman"/>
      <family val="1"/>
    </font>
    <font>
      <b/>
      <sz val="10"/>
      <color rgb="FF969696"/>
      <name val="Times New Roman"/>
      <family val="1"/>
    </font>
    <font>
      <sz val="8"/>
      <color rgb="FF7F7F7F"/>
      <name val="Times New Roman"/>
      <family val="1"/>
    </font>
    <font>
      <i/>
      <sz val="11"/>
      <name val="Times New Roman"/>
      <family val="1"/>
    </font>
    <font>
      <sz val="8.5"/>
      <name val="Times New Roman"/>
      <family val="1"/>
    </font>
    <font>
      <b/>
      <sz val="11"/>
      <name val="Times New Roman"/>
      <family val="1"/>
    </font>
    <font>
      <sz val="10"/>
      <color rgb="FF3366FF"/>
      <name val="Times New Roman"/>
      <family val="1"/>
    </font>
    <font>
      <sz val="8"/>
      <color rgb="FFF2F2F2"/>
      <name val="Times New Roman"/>
      <family val="1"/>
    </font>
    <font>
      <u/>
      <sz val="8"/>
      <color rgb="FFF2F2F2"/>
      <name val="Times New Roman"/>
      <family val="1"/>
    </font>
    <font>
      <sz val="11"/>
      <color rgb="FF538DD5"/>
      <name val="Times New Roman"/>
      <family val="1"/>
    </font>
    <font>
      <sz val="11"/>
      <color rgb="FF969696"/>
      <name val="Times New Roman"/>
      <family val="1"/>
    </font>
    <font>
      <u/>
      <sz val="8"/>
      <color rgb="FF0000FF"/>
      <name val="Times New Roman"/>
      <family val="1"/>
    </font>
    <font>
      <u/>
      <sz val="8"/>
      <color rgb="FF0000FF"/>
      <name val="Times New Roman"/>
      <family val="1"/>
    </font>
    <font>
      <u/>
      <sz val="10"/>
      <color rgb="FF0000FF"/>
      <name val="Times New Roman"/>
      <family val="1"/>
    </font>
    <font>
      <u/>
      <sz val="11"/>
      <color rgb="FF0000FF"/>
      <name val="Times New Roman"/>
      <family val="1"/>
    </font>
    <font>
      <sz val="8"/>
      <color rgb="FF808080"/>
      <name val="Times New Roman"/>
      <family val="1"/>
    </font>
    <font>
      <u/>
      <sz val="7"/>
      <color rgb="FF0000FF"/>
      <name val="Times New Roman"/>
      <family val="1"/>
    </font>
    <font>
      <sz val="10"/>
      <name val="Times New Roman"/>
      <family val="1"/>
    </font>
    <font>
      <u/>
      <sz val="11"/>
      <color rgb="FF0000FF"/>
      <name val="Times New Roman"/>
      <family val="1"/>
    </font>
    <font>
      <sz val="10"/>
      <color rgb="FFFF0000"/>
      <name val="Times New Roman"/>
      <family val="1"/>
    </font>
    <font>
      <sz val="10"/>
      <name val="Times New Roman"/>
      <family val="1"/>
    </font>
    <font>
      <sz val="10"/>
      <name val="Times New Roman"/>
      <family val="1"/>
    </font>
    <font>
      <sz val="10"/>
      <name val="Times New Roman"/>
      <family val="1"/>
    </font>
    <font>
      <sz val="8"/>
      <color rgb="FF808080"/>
      <name val="Times New Roman"/>
      <family val="1"/>
    </font>
    <font>
      <u/>
      <sz val="12"/>
      <color rgb="FF0000FF"/>
      <name val="Times New Roman"/>
      <family val="1"/>
    </font>
    <font>
      <u/>
      <sz val="10"/>
      <color rgb="FF0000FF"/>
      <name val="Times New Roman"/>
      <family val="1"/>
    </font>
    <font>
      <sz val="10"/>
      <name val="Times New Roman"/>
      <family val="1"/>
    </font>
    <font>
      <sz val="10"/>
      <name val="Times New Roman"/>
      <family val="1"/>
    </font>
    <font>
      <sz val="10"/>
      <name val="Times New Roman"/>
      <family val="1"/>
    </font>
    <font>
      <sz val="10"/>
      <name val="Times New Roman"/>
      <family val="1"/>
    </font>
    <font>
      <sz val="10"/>
      <name val="Times New Roman"/>
      <family val="1"/>
    </font>
    <font>
      <sz val="10"/>
      <name val="Times New Roman"/>
      <family val="1"/>
    </font>
    <font>
      <u/>
      <sz val="10"/>
      <color rgb="FF0000FF"/>
      <name val="Times New Roman"/>
      <family val="1"/>
    </font>
    <font>
      <u/>
      <sz val="10"/>
      <color rgb="FF0000FF"/>
      <name val="Times New Roman"/>
      <family val="1"/>
    </font>
    <font>
      <u/>
      <sz val="10"/>
      <color rgb="FF0000FF"/>
      <name val="Times New Roman"/>
      <family val="1"/>
    </font>
    <font>
      <sz val="10"/>
      <color rgb="FF0000FF"/>
      <name val="Times New Roman"/>
      <family val="1"/>
    </font>
    <font>
      <u/>
      <sz val="10"/>
      <color rgb="FF0000FF"/>
      <name val="Times New Roman"/>
      <family val="1"/>
    </font>
    <font>
      <u/>
      <sz val="9"/>
      <color rgb="FF0000FF"/>
      <name val="Times New Roman"/>
      <family val="1"/>
    </font>
    <font>
      <u/>
      <sz val="10"/>
      <color rgb="FF0000FF"/>
      <name val="Times New Roman"/>
      <family val="1"/>
    </font>
    <font>
      <b/>
      <u/>
      <sz val="12"/>
      <name val="Times New Roman"/>
      <family val="1"/>
    </font>
    <font>
      <b/>
      <u/>
      <sz val="12"/>
      <name val="Times New Roman"/>
      <family val="1"/>
    </font>
    <font>
      <sz val="10"/>
      <name val="Times New Roman"/>
      <family val="1"/>
    </font>
    <font>
      <sz val="10.5"/>
      <name val="Times New Roman"/>
      <family val="1"/>
    </font>
    <font>
      <sz val="10"/>
      <name val="Times New Roman"/>
      <family val="1"/>
    </font>
    <font>
      <sz val="10.5"/>
      <name val="Times New Roman"/>
      <family val="1"/>
    </font>
    <font>
      <sz val="10"/>
      <name val="Times New Roman"/>
      <family val="1"/>
    </font>
    <font>
      <sz val="10"/>
      <name val="Times New Roman"/>
      <family val="1"/>
    </font>
    <font>
      <sz val="10"/>
      <name val="Times New Roman"/>
      <family val="1"/>
    </font>
    <font>
      <b/>
      <sz val="10"/>
      <name val="Times New Roman"/>
      <family val="1"/>
    </font>
    <font>
      <sz val="10"/>
      <name val="Times New Roman"/>
      <family val="1"/>
    </font>
    <font>
      <b/>
      <u/>
      <sz val="12"/>
      <name val="Times New Roman"/>
      <family val="1"/>
    </font>
    <font>
      <sz val="8"/>
      <color rgb="FF808080"/>
      <name val="Times New Roman"/>
      <family val="1"/>
    </font>
    <font>
      <b/>
      <sz val="11"/>
      <color rgb="FFFF0000"/>
      <name val="Times New Roman"/>
      <family val="1"/>
    </font>
    <font>
      <sz val="10"/>
      <name val="Times New Roman"/>
      <family val="1"/>
    </font>
    <font>
      <u/>
      <sz val="8"/>
      <color rgb="FFF2F2F2"/>
      <name val="Times New Roman"/>
      <family val="1"/>
    </font>
    <font>
      <sz val="10"/>
      <name val="Times New Roman"/>
      <family val="1"/>
    </font>
    <font>
      <u/>
      <sz val="8"/>
      <color rgb="FF0000FF"/>
      <name val="Times New Roman"/>
      <family val="1"/>
    </font>
    <font>
      <u/>
      <sz val="8"/>
      <color rgb="FF0000FF"/>
      <name val="Times New Roman"/>
      <family val="1"/>
    </font>
    <font>
      <sz val="6"/>
      <name val="Arial"/>
      <family val="2"/>
    </font>
    <font>
      <sz val="10"/>
      <color rgb="FFFF0000"/>
      <name val="Arial"/>
      <family val="2"/>
    </font>
    <font>
      <sz val="10"/>
      <color rgb="FF000000"/>
      <name val="Arial"/>
      <family val="2"/>
    </font>
    <font>
      <u/>
      <sz val="10"/>
      <name val="Arial"/>
      <family val="2"/>
    </font>
    <font>
      <b/>
      <sz val="10"/>
      <name val="Arial"/>
      <family val="2"/>
    </font>
    <font>
      <b/>
      <sz val="10"/>
      <color rgb="FFFFCC99"/>
      <name val="Arial"/>
      <family val="2"/>
    </font>
    <font>
      <b/>
      <sz val="10"/>
      <color rgb="FFFF9900"/>
      <name val="Arial"/>
      <family val="2"/>
    </font>
    <font>
      <sz val="10"/>
      <color rgb="FF3366FF"/>
      <name val="Arial"/>
      <family val="2"/>
    </font>
    <font>
      <u/>
      <sz val="10"/>
      <color rgb="FF969696"/>
      <name val="Arial"/>
      <family val="2"/>
    </font>
    <font>
      <sz val="10"/>
      <color rgb="FFCC3399"/>
      <name val="Arial"/>
      <family val="2"/>
    </font>
    <font>
      <sz val="8"/>
      <color rgb="FFCC3399"/>
      <name val="Arial"/>
      <family val="2"/>
    </font>
    <font>
      <vertAlign val="subscript"/>
      <sz val="10"/>
      <name val="Arial"/>
      <family val="2"/>
    </font>
    <font>
      <sz val="10"/>
      <color rgb="FF808080"/>
      <name val="Arial"/>
      <family val="2"/>
    </font>
    <font>
      <b/>
      <sz val="10"/>
      <color rgb="FFFF00FF"/>
      <name val="Arial"/>
      <family val="2"/>
    </font>
    <font>
      <b/>
      <u/>
      <sz val="20"/>
      <color indexed="8"/>
      <name val="Times New Roman"/>
      <family val="1"/>
    </font>
    <font>
      <b/>
      <sz val="22"/>
      <color indexed="8"/>
      <name val="Times New Roman"/>
      <family val="1"/>
    </font>
    <font>
      <b/>
      <u/>
      <sz val="22"/>
      <color indexed="8"/>
      <name val="Times New Roman"/>
      <family val="1"/>
    </font>
    <font>
      <sz val="11"/>
      <color indexed="8"/>
      <name val="Times New Roman"/>
      <family val="1"/>
    </font>
    <font>
      <sz val="8"/>
      <color indexed="22"/>
      <name val="Times New Roman"/>
      <family val="1"/>
    </font>
    <font>
      <sz val="10"/>
      <color indexed="8"/>
      <name val="Times New Roman"/>
      <family val="1"/>
    </font>
    <font>
      <b/>
      <u/>
      <sz val="14"/>
      <color indexed="8"/>
      <name val="Times New Roman"/>
      <family val="1"/>
    </font>
    <font>
      <sz val="8"/>
      <color indexed="55"/>
      <name val="Times New Roman"/>
      <family val="1"/>
    </font>
    <font>
      <u/>
      <sz val="11"/>
      <color indexed="12"/>
      <name val="Times New Roman"/>
      <family val="1"/>
    </font>
    <font>
      <u/>
      <sz val="8"/>
      <color indexed="12"/>
      <name val="Times New Roman"/>
      <family val="1"/>
    </font>
    <font>
      <sz val="8"/>
      <color indexed="8"/>
      <name val="Times New Roman"/>
      <family val="1"/>
    </font>
    <font>
      <u/>
      <sz val="10"/>
      <color indexed="12"/>
      <name val="Times New Roman"/>
      <family val="1"/>
    </font>
    <font>
      <u/>
      <sz val="10"/>
      <color indexed="8"/>
      <name val="Times New Roman"/>
      <family val="1"/>
    </font>
    <font>
      <sz val="10"/>
      <color indexed="55"/>
      <name val="Times New Roman"/>
      <family val="1"/>
    </font>
    <font>
      <sz val="10.5"/>
      <color indexed="8"/>
      <name val="Times New Roman"/>
      <family val="1"/>
    </font>
    <font>
      <b/>
      <sz val="10.5"/>
      <color indexed="8"/>
      <name val="Times New Roman"/>
      <family val="1"/>
    </font>
    <font>
      <b/>
      <sz val="10.5"/>
      <color indexed="10"/>
      <name val="Times New Roman"/>
      <family val="1"/>
    </font>
    <font>
      <sz val="10"/>
      <color indexed="10"/>
      <name val="Times New Roman"/>
      <family val="1"/>
    </font>
    <font>
      <sz val="10.5"/>
      <color indexed="10"/>
      <name val="Times New Roman"/>
      <family val="1"/>
    </font>
    <font>
      <sz val="9"/>
      <color indexed="8"/>
      <name val="Times New Roman"/>
      <family val="1"/>
    </font>
    <font>
      <sz val="10"/>
      <color theme="0" tint="-4.9989318521683403E-2"/>
      <name val="Times New Roman"/>
      <family val="1"/>
    </font>
    <font>
      <b/>
      <i/>
      <sz val="12"/>
      <color indexed="10"/>
      <name val="Times New Roman"/>
      <family val="1"/>
    </font>
    <font>
      <sz val="10.5"/>
      <color theme="0"/>
      <name val="Times New Roman"/>
      <family val="1"/>
    </font>
    <font>
      <sz val="11"/>
      <color theme="1"/>
      <name val="Times New Roman"/>
      <family val="1"/>
    </font>
    <font>
      <b/>
      <i/>
      <sz val="12"/>
      <color theme="1"/>
      <name val="Times New Roman"/>
      <family val="1"/>
    </font>
    <font>
      <sz val="8"/>
      <color indexed="23"/>
      <name val="Times New Roman"/>
      <family val="1"/>
    </font>
    <font>
      <u/>
      <sz val="9"/>
      <color indexed="10"/>
      <name val="Times New Roman"/>
      <family val="1"/>
    </font>
    <font>
      <b/>
      <u/>
      <sz val="9"/>
      <color indexed="10"/>
      <name val="Times New Roman"/>
      <family val="1"/>
    </font>
    <font>
      <b/>
      <u/>
      <sz val="9"/>
      <color rgb="FFFF0000"/>
      <name val="Times New Roman"/>
      <family val="1"/>
    </font>
    <font>
      <u/>
      <sz val="9"/>
      <name val="Times New Roman"/>
      <family val="1"/>
    </font>
    <font>
      <u/>
      <sz val="14"/>
      <name val="Times New Roman"/>
      <family val="1"/>
    </font>
    <font>
      <sz val="10"/>
      <color theme="0" tint="-0.499984740745262"/>
      <name val="Times New Roman"/>
      <family val="1"/>
    </font>
    <font>
      <b/>
      <sz val="10"/>
      <color theme="0" tint="-4.9989318521683403E-2"/>
      <name val="Times New Roman"/>
      <family val="1"/>
    </font>
    <font>
      <sz val="10"/>
      <color theme="0" tint="-4.9989318521683403E-2"/>
      <name val="Calibri"/>
      <family val="2"/>
    </font>
    <font>
      <sz val="10"/>
      <color theme="0" tint="-4.9989318521683403E-2"/>
      <name val="Arial"/>
      <family val="2"/>
    </font>
    <font>
      <sz val="10"/>
      <color theme="0"/>
      <name val="Times New Roman"/>
      <family val="1"/>
    </font>
    <font>
      <sz val="1"/>
      <color theme="0"/>
      <name val="Times New Roman"/>
      <family val="1"/>
    </font>
    <font>
      <b/>
      <i/>
      <u/>
      <sz val="10"/>
      <name val="Times New Roman"/>
      <family val="1"/>
    </font>
    <font>
      <b/>
      <sz val="9"/>
      <color rgb="FF808080"/>
      <name val="Times New Roman"/>
      <family val="1"/>
    </font>
    <font>
      <u/>
      <sz val="11"/>
      <color theme="10"/>
      <name val="Calibri"/>
      <family val="2"/>
      <scheme val="minor"/>
    </font>
    <font>
      <sz val="11"/>
      <color theme="0"/>
      <name val="Times New Roman"/>
      <family val="1"/>
    </font>
    <font>
      <sz val="10.5"/>
      <color theme="1"/>
      <name val="Times New Roman"/>
      <family val="1"/>
    </font>
    <font>
      <sz val="9"/>
      <color theme="1"/>
      <name val="Times New Roman"/>
      <family val="1"/>
    </font>
    <font>
      <b/>
      <i/>
      <sz val="12"/>
      <color theme="0"/>
      <name val="Times New Roman"/>
      <family val="1"/>
    </font>
    <font>
      <u/>
      <sz val="22"/>
      <color rgb="FF0000FF"/>
      <name val="Times New Roman"/>
      <family val="1"/>
    </font>
    <font>
      <b/>
      <u/>
      <sz val="11.5"/>
      <color indexed="8"/>
      <name val="Times New Roman"/>
      <family val="1"/>
    </font>
    <font>
      <b/>
      <sz val="10"/>
      <color indexed="8"/>
      <name val="Times New Roman"/>
      <family val="1"/>
    </font>
    <font>
      <b/>
      <sz val="11"/>
      <color indexed="8"/>
      <name val="Times New Roman"/>
      <family val="1"/>
    </font>
    <font>
      <b/>
      <sz val="12"/>
      <name val="Times New Roman"/>
      <family val="1"/>
    </font>
    <font>
      <sz val="12"/>
      <color rgb="FF7F7F7F"/>
      <name val="Times New Roman"/>
      <family val="1"/>
    </font>
    <font>
      <b/>
      <u/>
      <sz val="11"/>
      <color indexed="8"/>
      <name val="Times New Roman"/>
      <family val="1"/>
    </font>
    <font>
      <b/>
      <u/>
      <sz val="11"/>
      <color theme="0" tint="-0.499984740745262"/>
      <name val="Times New Roman"/>
      <family val="1"/>
    </font>
    <font>
      <sz val="11"/>
      <color rgb="FF048698"/>
      <name val="Times New Roman"/>
      <family val="1"/>
    </font>
    <font>
      <sz val="12"/>
      <color rgb="FF3366FF"/>
      <name val="Times New Roman"/>
      <family val="1"/>
    </font>
    <font>
      <sz val="10"/>
      <color theme="1"/>
      <name val="Times New Roman"/>
      <family val="1"/>
    </font>
    <font>
      <b/>
      <sz val="11"/>
      <color rgb="FFFF0000"/>
      <name val="Arial"/>
      <family val="2"/>
    </font>
    <font>
      <sz val="8"/>
      <color theme="0" tint="-0.249977111117893"/>
      <name val="Times New Roman"/>
      <family val="1"/>
    </font>
    <font>
      <sz val="60"/>
      <color rgb="FF800080"/>
      <name val="Times New Roman"/>
      <family val="1"/>
    </font>
    <font>
      <b/>
      <u/>
      <sz val="18"/>
      <color indexed="8"/>
      <name val="Times New Roman"/>
      <family val="1"/>
    </font>
    <font>
      <b/>
      <sz val="10"/>
      <color rgb="FFFF00FF"/>
      <name val="Times New Roman"/>
      <family val="1"/>
    </font>
    <font>
      <b/>
      <sz val="11"/>
      <color rgb="FFFF00FF"/>
      <name val="Times New Roman"/>
      <family val="1"/>
    </font>
    <font>
      <b/>
      <sz val="10"/>
      <color indexed="10"/>
      <name val="Times New Roman"/>
      <family val="1"/>
    </font>
    <font>
      <b/>
      <sz val="10"/>
      <color theme="1"/>
      <name val="Times New Roman"/>
      <family val="1"/>
    </font>
    <font>
      <sz val="11"/>
      <color rgb="FFFF00FF"/>
      <name val="Times New Roman"/>
      <family val="1"/>
    </font>
    <font>
      <sz val="8"/>
      <color theme="0" tint="-0.499984740745262"/>
      <name val="Times New Roman"/>
      <family val="1"/>
    </font>
    <font>
      <sz val="10"/>
      <color theme="4" tint="-0.499984740745262"/>
      <name val="Times New Roman"/>
      <family val="1"/>
    </font>
    <font>
      <b/>
      <sz val="10"/>
      <color rgb="FFCC00FF"/>
      <name val="Times New Roman"/>
      <family val="1"/>
    </font>
    <font>
      <sz val="9"/>
      <color theme="0"/>
      <name val="Times New Roman"/>
      <family val="1"/>
    </font>
    <font>
      <sz val="10.5"/>
      <color theme="0" tint="-4.9989318521683403E-2"/>
      <name val="Times New Roman"/>
      <family val="1"/>
    </font>
    <font>
      <sz val="6"/>
      <color theme="0" tint="-4.9989318521683403E-2"/>
      <name val="Times New Roman"/>
      <family val="1"/>
    </font>
  </fonts>
  <fills count="238">
    <fill>
      <patternFill patternType="none"/>
    </fill>
    <fill>
      <patternFill patternType="gray125"/>
    </fill>
    <fill>
      <patternFill patternType="solid">
        <fgColor rgb="FFCCCCFF"/>
        <bgColor rgb="FFFFFFFF"/>
      </patternFill>
    </fill>
    <fill>
      <patternFill patternType="solid">
        <fgColor rgb="FFFF99CC"/>
        <bgColor rgb="FFFFFFFF"/>
      </patternFill>
    </fill>
    <fill>
      <patternFill patternType="solid">
        <fgColor rgb="FFCCFFCC"/>
        <bgColor rgb="FFFFFFFF"/>
      </patternFill>
    </fill>
    <fill>
      <patternFill patternType="solid">
        <fgColor rgb="FFCC99FF"/>
        <bgColor rgb="FFFFFFFF"/>
      </patternFill>
    </fill>
    <fill>
      <patternFill patternType="solid">
        <fgColor rgb="FFCCFFFF"/>
        <bgColor rgb="FFFFFFFF"/>
      </patternFill>
    </fill>
    <fill>
      <patternFill patternType="solid">
        <fgColor rgb="FFFFCC99"/>
        <bgColor rgb="FFFFFFFF"/>
      </patternFill>
    </fill>
    <fill>
      <patternFill patternType="solid">
        <fgColor rgb="FF99CCFF"/>
        <bgColor rgb="FFFFFFFF"/>
      </patternFill>
    </fill>
    <fill>
      <patternFill patternType="solid">
        <fgColor rgb="FFFF8080"/>
        <bgColor rgb="FFFFFFFF"/>
      </patternFill>
    </fill>
    <fill>
      <patternFill patternType="solid">
        <fgColor rgb="FF00FF00"/>
        <bgColor rgb="FFFFFFFF"/>
      </patternFill>
    </fill>
    <fill>
      <patternFill patternType="solid">
        <fgColor rgb="FFFFCC00"/>
        <bgColor rgb="FFFFFFFF"/>
      </patternFill>
    </fill>
    <fill>
      <patternFill patternType="solid">
        <fgColor rgb="FFFF9900"/>
        <bgColor rgb="FFFFFFFF"/>
      </patternFill>
    </fill>
    <fill>
      <patternFill patternType="solid">
        <fgColor rgb="FFFF0000"/>
        <bgColor rgb="FFFFFFFF"/>
      </patternFill>
    </fill>
    <fill>
      <patternFill patternType="solid">
        <fgColor rgb="FFFF6600"/>
        <bgColor rgb="FFFFFFFF"/>
      </patternFill>
    </fill>
    <fill>
      <patternFill patternType="solid">
        <fgColor rgb="FFC0C0C0"/>
        <bgColor rgb="FFFFFFFF"/>
      </patternFill>
    </fill>
    <fill>
      <patternFill patternType="none"/>
    </fill>
    <fill>
      <patternFill patternType="none"/>
    </fill>
    <fill>
      <patternFill patternType="solid">
        <fgColor rgb="FFFFCC99"/>
        <bgColor rgb="FFFFFFFF"/>
      </patternFill>
    </fill>
    <fill>
      <patternFill patternType="solid">
        <fgColor rgb="FFFFFF99"/>
        <bgColor rgb="FFFFFFFF"/>
      </patternFill>
    </fill>
    <fill>
      <patternFill patternType="solid">
        <fgColor rgb="FFFFFFCC"/>
        <bgColor rgb="FFFFFFFF"/>
      </patternFill>
    </fill>
    <fill>
      <patternFill patternType="solid">
        <fgColor rgb="FFC0C0C0"/>
        <bgColor rgb="FFFFFFFF"/>
      </patternFill>
    </fill>
    <fill>
      <patternFill patternType="none"/>
    </fill>
    <fill>
      <patternFill patternType="none"/>
    </fill>
    <fill>
      <patternFill patternType="solid">
        <fgColor rgb="FFCCCCFF"/>
        <bgColor rgb="FFFFFFFF"/>
      </patternFill>
    </fill>
    <fill>
      <patternFill patternType="none"/>
    </fill>
    <fill>
      <patternFill patternType="solid">
        <fgColor rgb="FFFF99CC"/>
        <bgColor rgb="FFFFFFFF"/>
      </patternFill>
    </fill>
    <fill>
      <patternFill patternType="solid">
        <fgColor rgb="FFCCFFCC"/>
        <bgColor rgb="FFFFFFFF"/>
      </patternFill>
    </fill>
    <fill>
      <patternFill patternType="solid">
        <fgColor rgb="FFCC99FF"/>
        <bgColor rgb="FFFFFFFF"/>
      </patternFill>
    </fill>
    <fill>
      <patternFill patternType="solid">
        <fgColor rgb="FFCCFFFF"/>
        <bgColor rgb="FFFFFFFF"/>
      </patternFill>
    </fill>
    <fill>
      <patternFill patternType="solid">
        <fgColor rgb="FFFFCC99"/>
        <bgColor rgb="FFFFFFFF"/>
      </patternFill>
    </fill>
    <fill>
      <patternFill patternType="solid">
        <fgColor rgb="FF99CCFF"/>
        <bgColor rgb="FFFFFFFF"/>
      </patternFill>
    </fill>
    <fill>
      <patternFill patternType="solid">
        <fgColor rgb="FFFF8080"/>
        <bgColor rgb="FFFFFFFF"/>
      </patternFill>
    </fill>
    <fill>
      <patternFill patternType="solid">
        <fgColor rgb="FF00FF00"/>
        <bgColor rgb="FFFFFFFF"/>
      </patternFill>
    </fill>
    <fill>
      <patternFill patternType="solid">
        <fgColor rgb="FFFFCC00"/>
        <bgColor rgb="FFFFFFFF"/>
      </patternFill>
    </fill>
    <fill>
      <patternFill patternType="solid">
        <fgColor rgb="FFFFFFCC"/>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99"/>
        <bgColor rgb="FFFFFFFF"/>
      </patternFill>
    </fill>
    <fill>
      <patternFill patternType="solid">
        <fgColor rgb="FFFFFF00"/>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99"/>
        <bgColor rgb="FFFFFFFF"/>
      </patternFill>
    </fill>
    <fill>
      <patternFill patternType="solid">
        <fgColor rgb="FFFFFF99"/>
        <bgColor rgb="FFFFFFFF"/>
      </patternFill>
    </fill>
    <fill>
      <patternFill patternType="solid">
        <fgColor rgb="FFFFFF99"/>
        <bgColor rgb="FFFFFFFF"/>
      </patternFill>
    </fill>
    <fill>
      <patternFill patternType="solid">
        <fgColor rgb="FFFFFF99"/>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99"/>
        <bgColor rgb="FFFFFFFF"/>
      </patternFill>
    </fill>
    <fill>
      <patternFill patternType="solid">
        <fgColor rgb="FFFFFFFF"/>
        <bgColor rgb="FFFFFFFF"/>
      </patternFill>
    </fill>
    <fill>
      <patternFill patternType="solid">
        <fgColor rgb="FFFFFFFF"/>
        <bgColor rgb="FFFFFFFF"/>
      </patternFill>
    </fill>
    <fill>
      <patternFill patternType="solid">
        <fgColor rgb="FFFFFF99"/>
        <bgColor rgb="FFFFFFFF"/>
      </patternFill>
    </fill>
    <fill>
      <patternFill patternType="solid">
        <fgColor rgb="FFCCFFFF"/>
        <bgColor rgb="FFFFFFFF"/>
      </patternFill>
    </fill>
    <fill>
      <patternFill patternType="solid">
        <fgColor rgb="FFCCFFFF"/>
        <bgColor rgb="FFFFFFFF"/>
      </patternFill>
    </fill>
    <fill>
      <patternFill patternType="solid">
        <fgColor rgb="FF00FF00"/>
        <bgColor rgb="FFFFFFFF"/>
      </patternFill>
    </fill>
    <fill>
      <patternFill patternType="solid">
        <fgColor rgb="FFFFCC00"/>
        <bgColor rgb="FFFFFFFF"/>
      </patternFill>
    </fill>
    <fill>
      <patternFill patternType="solid">
        <fgColor rgb="FFFF0000"/>
        <bgColor rgb="FFFFFFFF"/>
      </patternFill>
    </fill>
    <fill>
      <patternFill patternType="solid">
        <fgColor rgb="FFFF0000"/>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99"/>
        <bgColor rgb="FFFFFFFF"/>
      </patternFill>
    </fill>
    <fill>
      <patternFill patternType="solid">
        <fgColor rgb="FFFFFF99"/>
        <bgColor rgb="FFFFFFFF"/>
      </patternFill>
    </fill>
    <fill>
      <patternFill patternType="solid">
        <fgColor rgb="FFFFFF99"/>
        <bgColor rgb="FFFFFFFF"/>
      </patternFill>
    </fill>
    <fill>
      <patternFill patternType="solid">
        <fgColor rgb="FFFFFF99"/>
        <bgColor rgb="FFFFFFFF"/>
      </patternFill>
    </fill>
    <fill>
      <patternFill patternType="solid">
        <fgColor rgb="FFFFFFFF"/>
        <bgColor rgb="FFFFFFFF"/>
      </patternFill>
    </fill>
    <fill>
      <patternFill patternType="solid">
        <fgColor rgb="FFFFFF99"/>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99"/>
        <bgColor rgb="FFFFFFFF"/>
      </patternFill>
    </fill>
    <fill>
      <patternFill patternType="solid">
        <fgColor rgb="FFFFFF99"/>
        <bgColor rgb="FFFFFFFF"/>
      </patternFill>
    </fill>
    <fill>
      <patternFill patternType="solid">
        <fgColor rgb="FFFFFF99"/>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99"/>
        <bgColor rgb="FFFFFFFF"/>
      </patternFill>
    </fill>
    <fill>
      <patternFill patternType="solid">
        <fgColor rgb="FFFFFF99"/>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99"/>
        <bgColor rgb="FFFFFFFF"/>
      </patternFill>
    </fill>
    <fill>
      <patternFill patternType="solid">
        <fgColor rgb="FFFFFF99"/>
        <bgColor rgb="FFFFFFFF"/>
      </patternFill>
    </fill>
    <fill>
      <patternFill patternType="solid">
        <fgColor rgb="FFFFFF99"/>
        <bgColor rgb="FFFFFFFF"/>
      </patternFill>
    </fill>
    <fill>
      <patternFill patternType="solid">
        <fgColor rgb="FFFFFF99"/>
        <bgColor rgb="FFFFFFFF"/>
      </patternFill>
    </fill>
    <fill>
      <patternFill patternType="solid">
        <fgColor rgb="FFFFFFFF"/>
        <bgColor rgb="FFFFFFFF"/>
      </patternFill>
    </fill>
    <fill>
      <patternFill patternType="solid">
        <fgColor rgb="FFFFFF99"/>
        <bgColor rgb="FFFFFFFF"/>
      </patternFill>
    </fill>
    <fill>
      <patternFill patternType="solid">
        <fgColor rgb="FFCCFFCC"/>
        <bgColor rgb="FFFFFFFF"/>
      </patternFill>
    </fill>
    <fill>
      <patternFill patternType="solid">
        <fgColor rgb="FFFFFFFF"/>
        <bgColor rgb="FFFFFFFF"/>
      </patternFill>
    </fill>
    <fill>
      <patternFill patternType="solid">
        <fgColor rgb="FFFFFF99"/>
        <bgColor rgb="FFFFFFFF"/>
      </patternFill>
    </fill>
    <fill>
      <patternFill patternType="solid">
        <fgColor rgb="FFFFFF99"/>
        <bgColor rgb="FFFFFFFF"/>
      </patternFill>
    </fill>
    <fill>
      <patternFill patternType="solid">
        <fgColor rgb="FFFFFF99"/>
        <bgColor rgb="FFFFFFFF"/>
      </patternFill>
    </fill>
    <fill>
      <patternFill patternType="solid">
        <fgColor rgb="FFFFFFFF"/>
        <bgColor rgb="FFFFFFFF"/>
      </patternFill>
    </fill>
    <fill>
      <patternFill patternType="solid">
        <fgColor rgb="FFFFFFFF"/>
        <bgColor rgb="FFFFFFFF"/>
      </patternFill>
    </fill>
    <fill>
      <patternFill patternType="solid">
        <fgColor rgb="FFFFFF99"/>
        <bgColor rgb="FFFFFFFF"/>
      </patternFill>
    </fill>
    <fill>
      <patternFill patternType="solid">
        <fgColor rgb="FFFFFF99"/>
        <bgColor rgb="FFFFFFFF"/>
      </patternFill>
    </fill>
    <fill>
      <patternFill patternType="solid">
        <fgColor rgb="FFF2F2F2"/>
        <bgColor rgb="FFFFFFFF"/>
      </patternFill>
    </fill>
    <fill>
      <patternFill patternType="solid">
        <fgColor rgb="FFF2F2F2"/>
        <bgColor rgb="FFFFFFFF"/>
      </patternFill>
    </fill>
    <fill>
      <patternFill patternType="solid">
        <fgColor rgb="FFF2F2F2"/>
        <bgColor rgb="FFFFFFFF"/>
      </patternFill>
    </fill>
    <fill>
      <patternFill patternType="solid">
        <fgColor rgb="FFF2F2F2"/>
        <bgColor rgb="FFFFFFFF"/>
      </patternFill>
    </fill>
    <fill>
      <patternFill patternType="solid">
        <fgColor rgb="FFFFFF99"/>
        <bgColor rgb="FFFFFFFF"/>
      </patternFill>
    </fill>
    <fill>
      <patternFill patternType="solid">
        <fgColor rgb="FFFFFFFF"/>
        <bgColor rgb="FFFFFFFF"/>
      </patternFill>
    </fill>
    <fill>
      <patternFill patternType="solid">
        <fgColor rgb="FFFFFF99"/>
        <bgColor rgb="FFFFFFFF"/>
      </patternFill>
    </fill>
    <fill>
      <patternFill patternType="solid">
        <fgColor rgb="FFFFFF99"/>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99"/>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2F2F2"/>
        <bgColor rgb="FFFFFFFF"/>
      </patternFill>
    </fill>
    <fill>
      <patternFill patternType="solid">
        <fgColor rgb="FFFF00FF"/>
        <bgColor rgb="FFFFFFFF"/>
      </patternFill>
    </fill>
    <fill>
      <patternFill patternType="solid">
        <fgColor rgb="FFCCFFCC"/>
        <bgColor rgb="FFFFFFFF"/>
      </patternFill>
    </fill>
    <fill>
      <patternFill patternType="solid">
        <fgColor rgb="FFF2F2F2"/>
        <bgColor rgb="FFFFFFFF"/>
      </patternFill>
    </fill>
    <fill>
      <patternFill patternType="solid">
        <fgColor rgb="FFF2F2F2"/>
        <bgColor rgb="FFFFFFFF"/>
      </patternFill>
    </fill>
    <fill>
      <patternFill patternType="solid">
        <fgColor rgb="FFFFFF99"/>
        <bgColor rgb="FFFFFFFF"/>
      </patternFill>
    </fill>
    <fill>
      <patternFill patternType="solid">
        <fgColor rgb="FFFFFFFF"/>
        <bgColor rgb="FFFFFFFF"/>
      </patternFill>
    </fill>
    <fill>
      <patternFill patternType="solid">
        <fgColor rgb="FFFFFF99"/>
        <bgColor rgb="FFFFFFFF"/>
      </patternFill>
    </fill>
    <fill>
      <patternFill patternType="solid">
        <fgColor rgb="FFFFFF99"/>
        <bgColor rgb="FFFFFFFF"/>
      </patternFill>
    </fill>
    <fill>
      <patternFill patternType="solid">
        <fgColor rgb="FFFFFFFF"/>
        <bgColor rgb="FFFFFFFF"/>
      </patternFill>
    </fill>
    <fill>
      <patternFill patternType="solid">
        <fgColor rgb="FFFFFFFF"/>
        <bgColor rgb="FFFFFFFF"/>
      </patternFill>
    </fill>
    <fill>
      <patternFill patternType="solid">
        <fgColor rgb="FFFFFF99"/>
        <bgColor rgb="FFFFFFFF"/>
      </patternFill>
    </fill>
    <fill>
      <patternFill patternType="solid">
        <fgColor rgb="FFFFFFFF"/>
        <bgColor rgb="FFFFFFFF"/>
      </patternFill>
    </fill>
    <fill>
      <patternFill patternType="solid">
        <fgColor rgb="FFFFFFFF"/>
        <bgColor rgb="FFFFFFFF"/>
      </patternFill>
    </fill>
    <fill>
      <patternFill patternType="solid">
        <fgColor rgb="FFFFFF99"/>
        <bgColor rgb="FFFFFFFF"/>
      </patternFill>
    </fill>
    <fill>
      <patternFill patternType="solid">
        <fgColor rgb="FFFFFF99"/>
        <bgColor rgb="FFFFFFFF"/>
      </patternFill>
    </fill>
    <fill>
      <patternFill patternType="solid">
        <fgColor rgb="FFF2F2F2"/>
        <bgColor rgb="FFFFFFFF"/>
      </patternFill>
    </fill>
    <fill>
      <patternFill patternType="solid">
        <fgColor rgb="FFF2F2F2"/>
        <bgColor rgb="FFFFFFFF"/>
      </patternFill>
    </fill>
    <fill>
      <patternFill patternType="solid">
        <fgColor rgb="FFFFFFFF"/>
        <bgColor rgb="FFFFFFFF"/>
      </patternFill>
    </fill>
    <fill>
      <patternFill patternType="solid">
        <fgColor rgb="FFFFFFFF"/>
        <bgColor rgb="FFFFFFFF"/>
      </patternFill>
    </fill>
    <fill>
      <patternFill patternType="solid">
        <fgColor rgb="FFFFFF99"/>
        <bgColor rgb="FFFFFFFF"/>
      </patternFill>
    </fill>
    <fill>
      <patternFill patternType="solid">
        <fgColor rgb="FFFFFF99"/>
        <bgColor rgb="FFFFFFFF"/>
      </patternFill>
    </fill>
    <fill>
      <patternFill patternType="solid">
        <fgColor rgb="FFFFFFFF"/>
        <bgColor rgb="FFFFFFFF"/>
      </patternFill>
    </fill>
    <fill>
      <patternFill patternType="solid">
        <fgColor rgb="FFFFFF99"/>
        <bgColor rgb="FFFFFFFF"/>
      </patternFill>
    </fill>
    <fill>
      <patternFill patternType="solid">
        <fgColor rgb="FFFFFFFF"/>
        <bgColor rgb="FFFFFFFF"/>
      </patternFill>
    </fill>
    <fill>
      <patternFill patternType="solid">
        <fgColor rgb="FFFFFFFF"/>
        <bgColor rgb="FFFFFFFF"/>
      </patternFill>
    </fill>
    <fill>
      <patternFill patternType="solid">
        <fgColor rgb="FFFFFF99"/>
        <bgColor rgb="FFFFFFFF"/>
      </patternFill>
    </fill>
    <fill>
      <patternFill patternType="solid">
        <fgColor rgb="FFFFFFFF"/>
        <bgColor rgb="FFFFFFFF"/>
      </patternFill>
    </fill>
    <fill>
      <patternFill patternType="solid">
        <fgColor rgb="FFFFFF99"/>
        <bgColor rgb="FFFFFFFF"/>
      </patternFill>
    </fill>
    <fill>
      <patternFill patternType="solid">
        <fgColor rgb="FFCCFFFF"/>
        <bgColor rgb="FFFFFFFF"/>
      </patternFill>
    </fill>
    <fill>
      <patternFill patternType="solid">
        <fgColor rgb="FFCCFFFF"/>
        <bgColor rgb="FFFFFFFF"/>
      </patternFill>
    </fill>
    <fill>
      <patternFill patternType="solid">
        <fgColor rgb="FF00FF00"/>
        <bgColor rgb="FFFFFFFF"/>
      </patternFill>
    </fill>
    <fill>
      <patternFill patternType="solid">
        <fgColor rgb="FFFFCC00"/>
        <bgColor rgb="FFFFFFFF"/>
      </patternFill>
    </fill>
    <fill>
      <patternFill patternType="solid">
        <fgColor rgb="FFFF0000"/>
        <bgColor rgb="FFFFFFFF"/>
      </patternFill>
    </fill>
    <fill>
      <patternFill patternType="solid">
        <fgColor rgb="FFFFFF99"/>
        <bgColor rgb="FFFFFFFF"/>
      </patternFill>
    </fill>
    <fill>
      <patternFill patternType="solid">
        <fgColor rgb="FFF2F2F2"/>
        <bgColor rgb="FFFFFFFF"/>
      </patternFill>
    </fill>
    <fill>
      <patternFill patternType="solid">
        <fgColor rgb="FFFFFF99"/>
        <bgColor rgb="FFFFFFFF"/>
      </patternFill>
    </fill>
    <fill>
      <patternFill patternType="solid">
        <fgColor rgb="FFFFFF99"/>
        <bgColor rgb="FFFFFFFF"/>
      </patternFill>
    </fill>
    <fill>
      <patternFill patternType="solid">
        <fgColor rgb="FFFFFF99"/>
        <bgColor rgb="FFFFFFFF"/>
      </patternFill>
    </fill>
    <fill>
      <patternFill patternType="solid">
        <fgColor rgb="FFCCFFFF"/>
        <bgColor rgb="FFFFFFFF"/>
      </patternFill>
    </fill>
    <fill>
      <patternFill patternType="solid">
        <fgColor rgb="FFCCFFFF"/>
        <bgColor rgb="FFFFFFFF"/>
      </patternFill>
    </fill>
    <fill>
      <patternFill patternType="solid">
        <fgColor rgb="FFCCFFFF"/>
        <bgColor rgb="FFFFFFFF"/>
      </patternFill>
    </fill>
    <fill>
      <patternFill patternType="solid">
        <fgColor rgb="FFCCFFFF"/>
        <bgColor rgb="FFFFFFFF"/>
      </patternFill>
    </fill>
    <fill>
      <patternFill patternType="solid">
        <fgColor rgb="FFFFFFFF"/>
        <bgColor rgb="FFFFFFFF"/>
      </patternFill>
    </fill>
    <fill>
      <patternFill patternType="solid">
        <fgColor rgb="FFFFFFFF"/>
        <bgColor rgb="FFFFFFFF"/>
      </patternFill>
    </fill>
    <fill>
      <patternFill patternType="solid">
        <fgColor rgb="FFFFFF99"/>
        <bgColor rgb="FFFFFFFF"/>
      </patternFill>
    </fill>
    <fill>
      <patternFill patternType="solid">
        <fgColor rgb="FFFFFF99"/>
        <bgColor rgb="FFFFFFFF"/>
      </patternFill>
    </fill>
    <fill>
      <patternFill patternType="solid">
        <fgColor rgb="FFF2F2F2"/>
        <bgColor rgb="FFFFFFFF"/>
      </patternFill>
    </fill>
    <fill>
      <patternFill patternType="solid">
        <fgColor rgb="FFF2F2F2"/>
        <bgColor rgb="FFFFFFFF"/>
      </patternFill>
    </fill>
    <fill>
      <patternFill patternType="solid">
        <fgColor rgb="FFF2F2F2"/>
        <bgColor rgb="FFFFFFFF"/>
      </patternFill>
    </fill>
    <fill>
      <patternFill patternType="solid">
        <fgColor rgb="FFF2F2F2"/>
        <bgColor rgb="FFFFFFFF"/>
      </patternFill>
    </fill>
    <fill>
      <patternFill patternType="solid">
        <fgColor rgb="FFFFFF99"/>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CCFFFF"/>
        <bgColor rgb="FFFFFFFF"/>
      </patternFill>
    </fill>
    <fill>
      <patternFill patternType="solid">
        <fgColor rgb="FF00FF00"/>
        <bgColor rgb="FFFFFFFF"/>
      </patternFill>
    </fill>
    <fill>
      <patternFill patternType="solid">
        <fgColor rgb="FFFFCC00"/>
        <bgColor rgb="FFFFFFFF"/>
      </patternFill>
    </fill>
    <fill>
      <patternFill patternType="solid">
        <fgColor rgb="FFFF0000"/>
        <bgColor rgb="FFFFFFFF"/>
      </patternFill>
    </fill>
    <fill>
      <patternFill patternType="solid">
        <fgColor rgb="FFFF0000"/>
        <bgColor rgb="FFFFFFFF"/>
      </patternFill>
    </fill>
    <fill>
      <patternFill patternType="solid">
        <fgColor rgb="FFFF0000"/>
        <bgColor rgb="FFFFFFFF"/>
      </patternFill>
    </fill>
    <fill>
      <patternFill patternType="solid">
        <fgColor rgb="FFFF0000"/>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CCFFFF"/>
        <bgColor rgb="FFFFFFFF"/>
      </patternFill>
    </fill>
    <fill>
      <patternFill patternType="solid">
        <fgColor rgb="FFCCFFFF"/>
        <bgColor rgb="FFFFFFFF"/>
      </patternFill>
    </fill>
    <fill>
      <patternFill patternType="solid">
        <fgColor rgb="FFCCFFFF"/>
        <bgColor rgb="FFFFFFFF"/>
      </patternFill>
    </fill>
    <fill>
      <patternFill patternType="solid">
        <fgColor rgb="FFF2F2F2"/>
        <bgColor rgb="FFFFFFFF"/>
      </patternFill>
    </fill>
    <fill>
      <patternFill patternType="solid">
        <fgColor rgb="FFCCFFFF"/>
        <bgColor rgb="FFFFFFFF"/>
      </patternFill>
    </fill>
    <fill>
      <patternFill patternType="solid">
        <fgColor rgb="FFCCFFFF"/>
        <bgColor rgb="FFFFFFFF"/>
      </patternFill>
    </fill>
    <fill>
      <patternFill patternType="solid">
        <fgColor rgb="FFFFFF99"/>
        <bgColor rgb="FFFFFFFF"/>
      </patternFill>
    </fill>
    <fill>
      <patternFill patternType="solid">
        <fgColor rgb="FFFFFF99"/>
        <bgColor rgb="FFFFFFFF"/>
      </patternFill>
    </fill>
    <fill>
      <patternFill patternType="solid">
        <fgColor rgb="FFFFFF99"/>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99"/>
        <bgColor rgb="FFFFFFFF"/>
      </patternFill>
    </fill>
    <fill>
      <patternFill patternType="solid">
        <fgColor rgb="FFF2F2F2"/>
        <bgColor rgb="FFFFFFFF"/>
      </patternFill>
    </fill>
    <fill>
      <patternFill patternType="solid">
        <fgColor rgb="FFFFFF99"/>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2F2F2"/>
        <bgColor rgb="FFFFFFFF"/>
      </patternFill>
    </fill>
    <fill>
      <patternFill patternType="solid">
        <fgColor rgb="FFFFFFFF"/>
        <bgColor rgb="FFFFFFFF"/>
      </patternFill>
    </fill>
    <fill>
      <patternFill patternType="none"/>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CCFFFF"/>
        <bgColor rgb="FFFFFFFF"/>
      </patternFill>
    </fill>
    <fill>
      <patternFill patternType="solid">
        <fgColor rgb="FFCCFFFF"/>
        <bgColor rgb="FFFFFFFF"/>
      </patternFill>
    </fill>
    <fill>
      <patternFill patternType="solid">
        <fgColor theme="0"/>
        <bgColor indexed="64"/>
      </patternFill>
    </fill>
    <fill>
      <patternFill patternType="solid">
        <fgColor theme="0"/>
        <bgColor indexed="26"/>
      </patternFill>
    </fill>
    <fill>
      <patternFill patternType="solid">
        <fgColor indexed="65"/>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theme="0" tint="-4.9989318521683403E-2"/>
        <bgColor indexed="64"/>
      </patternFill>
    </fill>
    <fill>
      <patternFill patternType="solid">
        <fgColor indexed="41"/>
        <bgColor indexed="64"/>
      </patternFill>
    </fill>
    <fill>
      <patternFill patternType="solid">
        <fgColor indexed="65"/>
        <bgColor indexed="26"/>
      </patternFill>
    </fill>
    <fill>
      <patternFill patternType="solid">
        <fgColor theme="0" tint="-4.9989318521683403E-2"/>
        <bgColor rgb="FFFFFFFF"/>
      </patternFill>
    </fill>
    <fill>
      <patternFill patternType="solid">
        <fgColor theme="0"/>
        <bgColor rgb="FFFFFFFF"/>
      </patternFill>
    </fill>
    <fill>
      <patternFill patternType="solid">
        <fgColor theme="5"/>
        <bgColor indexed="64"/>
      </patternFill>
    </fill>
    <fill>
      <patternFill patternType="solid">
        <fgColor theme="0"/>
        <bgColor indexed="8"/>
      </patternFill>
    </fill>
    <fill>
      <patternFill patternType="solid">
        <fgColor indexed="43"/>
        <bgColor indexed="26"/>
      </patternFill>
    </fill>
    <fill>
      <patternFill patternType="solid">
        <fgColor rgb="FFFFFF99"/>
        <bgColor indexed="64"/>
      </patternFill>
    </fill>
  </fills>
  <borders count="271">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808080"/>
      </left>
      <right style="thin">
        <color rgb="FF808080"/>
      </right>
      <top style="thin">
        <color rgb="FF808080"/>
      </top>
      <bottom style="thin">
        <color rgb="FF808080"/>
      </bottom>
      <diagonal/>
    </border>
    <border>
      <left/>
      <right/>
      <top/>
      <bottom style="medium">
        <color rgb="FF333399"/>
      </bottom>
      <diagonal/>
    </border>
    <border>
      <left/>
      <right/>
      <top/>
      <bottom style="medium">
        <color rgb="FFC0C0C0"/>
      </bottom>
      <diagonal/>
    </border>
    <border>
      <left style="thin">
        <color rgb="FF808080"/>
      </left>
      <right style="thin">
        <color rgb="FF808080"/>
      </right>
      <top style="thin">
        <color rgb="FF808080"/>
      </top>
      <bottom style="thin">
        <color rgb="FF808080"/>
      </bottom>
      <diagonal/>
    </border>
    <border>
      <left/>
      <right/>
      <top/>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333399"/>
      </top>
      <bottom style="double">
        <color rgb="FF333399"/>
      </bottom>
      <diagonal/>
    </border>
    <border>
      <left/>
      <right/>
      <top/>
      <bottom style="thick">
        <color rgb="FFC0C0C0"/>
      </bottom>
      <diagonal/>
    </border>
    <border>
      <left/>
      <right/>
      <top/>
      <bottom/>
      <diagonal/>
    </border>
    <border>
      <left/>
      <right/>
      <top/>
      <bottom style="thick">
        <color rgb="FF333399"/>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C0C0C0"/>
      </left>
      <right style="thin">
        <color rgb="FFC0C0C0"/>
      </right>
      <top style="thin">
        <color rgb="FFC0C0C0"/>
      </top>
      <bottom style="thin">
        <color rgb="FFC0C0C0"/>
      </bottom>
      <diagonal/>
    </border>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rgb="FF969696"/>
      </left>
      <right/>
      <top/>
      <bottom/>
      <diagonal/>
    </border>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top style="thin">
        <color auto="1"/>
      </top>
      <bottom/>
      <diagonal/>
    </border>
    <border>
      <left/>
      <right style="thin">
        <color auto="1"/>
      </right>
      <top/>
      <bottom/>
      <diagonal/>
    </border>
    <border>
      <left style="thin">
        <color rgb="FF969696"/>
      </left>
      <right style="thin">
        <color rgb="FF969696"/>
      </right>
      <top style="thin">
        <color rgb="FF969696"/>
      </top>
      <bottom style="thin">
        <color rgb="FF969696"/>
      </bottom>
      <diagonal/>
    </border>
    <border>
      <left style="thin">
        <color rgb="FF969696"/>
      </left>
      <right/>
      <top/>
      <bottom style="thin">
        <color rgb="FF969696"/>
      </bottom>
      <diagonal/>
    </border>
    <border>
      <left/>
      <right style="thin">
        <color rgb="FF969696"/>
      </right>
      <top/>
      <bottom style="thin">
        <color rgb="FF969696"/>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rgb="FF969696"/>
      </left>
      <right style="thin">
        <color rgb="FF969696"/>
      </right>
      <top/>
      <bottom style="thin">
        <color rgb="FF969696"/>
      </bottom>
      <diagonal/>
    </border>
    <border>
      <left style="thin">
        <color auto="1"/>
      </left>
      <right/>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rgb="FFC0C0C0"/>
      </right>
      <top style="thin">
        <color auto="1"/>
      </top>
      <bottom style="thin">
        <color auto="1"/>
      </bottom>
      <diagonal/>
    </border>
    <border>
      <left style="thin">
        <color rgb="FFC0C0C0"/>
      </left>
      <right style="thin">
        <color auto="1"/>
      </right>
      <top style="thin">
        <color auto="1"/>
      </top>
      <bottom style="thin">
        <color auto="1"/>
      </bottom>
      <diagonal/>
    </border>
    <border>
      <left style="thin">
        <color auto="1"/>
      </left>
      <right style="thin">
        <color rgb="FFC0C0C0"/>
      </right>
      <top style="thin">
        <color auto="1"/>
      </top>
      <bottom style="thin">
        <color auto="1"/>
      </bottom>
      <diagonal/>
    </border>
    <border>
      <left style="thin">
        <color rgb="FFC0C0C0"/>
      </left>
      <right style="thin">
        <color auto="1"/>
      </right>
      <top style="thin">
        <color auto="1"/>
      </top>
      <bottom style="thin">
        <color auto="1"/>
      </bottom>
      <diagonal/>
    </border>
    <border>
      <left/>
      <right/>
      <top style="thin">
        <color auto="1"/>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rgb="FF969696"/>
      </right>
      <top style="thin">
        <color auto="1"/>
      </top>
      <bottom/>
      <diagonal/>
    </border>
    <border>
      <left style="thin">
        <color rgb="FF969696"/>
      </left>
      <right style="thin">
        <color auto="1"/>
      </right>
      <top style="thin">
        <color auto="1"/>
      </top>
      <bottom/>
      <diagonal/>
    </border>
    <border>
      <left/>
      <right style="thin">
        <color rgb="FF969696"/>
      </right>
      <top style="thin">
        <color auto="1"/>
      </top>
      <bottom/>
      <diagonal/>
    </border>
    <border>
      <left style="thin">
        <color auto="1"/>
      </left>
      <right style="thin">
        <color rgb="FF969696"/>
      </right>
      <top style="thin">
        <color auto="1"/>
      </top>
      <bottom style="thin">
        <color auto="1"/>
      </bottom>
      <diagonal/>
    </border>
    <border>
      <left style="thin">
        <color rgb="FF969696"/>
      </left>
      <right style="thin">
        <color auto="1"/>
      </right>
      <top style="thin">
        <color auto="1"/>
      </top>
      <bottom style="thin">
        <color auto="1"/>
      </bottom>
      <diagonal/>
    </border>
    <border>
      <left/>
      <right style="thin">
        <color rgb="FF969696"/>
      </right>
      <top style="thin">
        <color auto="1"/>
      </top>
      <bottom style="thin">
        <color auto="1"/>
      </bottom>
      <diagonal/>
    </border>
    <border>
      <left style="thin">
        <color rgb="FF969696"/>
      </left>
      <right style="thin">
        <color auto="1"/>
      </right>
      <top style="thin">
        <color auto="1"/>
      </top>
      <bottom style="thin">
        <color auto="1"/>
      </bottom>
      <diagonal/>
    </border>
    <border>
      <left/>
      <right style="thin">
        <color auto="1"/>
      </right>
      <top/>
      <bottom/>
      <diagonal/>
    </border>
    <border>
      <left style="thin">
        <color auto="1"/>
      </left>
      <right/>
      <top style="thin">
        <color auto="1"/>
      </top>
      <bottom style="thin">
        <color auto="1"/>
      </bottom>
      <diagonal/>
    </border>
    <border>
      <left style="thin">
        <color auto="1"/>
      </left>
      <right style="thin">
        <color rgb="FF969696"/>
      </right>
      <top style="thin">
        <color auto="1"/>
      </top>
      <bottom style="thin">
        <color auto="1"/>
      </bottom>
      <diagonal/>
    </border>
    <border>
      <left style="thin">
        <color rgb="FF969696"/>
      </left>
      <right style="thin">
        <color auto="1"/>
      </right>
      <top style="thin">
        <color auto="1"/>
      </top>
      <bottom style="thin">
        <color auto="1"/>
      </bottom>
      <diagonal/>
    </border>
    <border>
      <left style="thin">
        <color rgb="FF969696"/>
      </left>
      <right/>
      <top/>
      <bottom/>
      <diagonal/>
    </border>
    <border>
      <left style="thin">
        <color rgb="FF969696"/>
      </left>
      <right style="thin">
        <color rgb="FF969696"/>
      </right>
      <top style="thin">
        <color rgb="FF969696"/>
      </top>
      <bottom/>
      <diagonal/>
    </border>
    <border>
      <left style="thin">
        <color rgb="FF969696"/>
      </left>
      <right style="thin">
        <color rgb="FF969696"/>
      </right>
      <top/>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rgb="FF969696"/>
      </left>
      <right style="thin">
        <color rgb="FF969696"/>
      </right>
      <top style="thin">
        <color rgb="FF969696"/>
      </top>
      <bottom style="thin">
        <color rgb="FF969696"/>
      </bottom>
      <diagonal/>
    </border>
    <border>
      <left style="thin">
        <color rgb="FF969696"/>
      </left>
      <right style="thin">
        <color rgb="FF969696"/>
      </right>
      <top style="thin">
        <color rgb="FF969696"/>
      </top>
      <bottom style="thin">
        <color rgb="FF969696"/>
      </bottom>
      <diagonal/>
    </border>
    <border>
      <left/>
      <right/>
      <top style="thin">
        <color auto="1"/>
      </top>
      <bottom/>
      <diagonal/>
    </border>
    <border>
      <left style="thin">
        <color auto="1"/>
      </left>
      <right/>
      <top/>
      <bottom/>
      <diagonal/>
    </border>
    <border>
      <left/>
      <right/>
      <top/>
      <bottom style="thin">
        <color auto="1"/>
      </bottom>
      <diagonal/>
    </border>
    <border>
      <left style="thin">
        <color auto="1"/>
      </left>
      <right/>
      <top/>
      <bottom/>
      <diagonal/>
    </border>
    <border>
      <left/>
      <right style="thin">
        <color auto="1"/>
      </right>
      <top/>
      <bottom style="thin">
        <color auto="1"/>
      </bottom>
      <diagonal/>
    </border>
    <border>
      <left style="thin">
        <color auto="1"/>
      </left>
      <right style="thin">
        <color rgb="FFD8D8D8"/>
      </right>
      <top style="thin">
        <color auto="1"/>
      </top>
      <bottom style="thin">
        <color auto="1"/>
      </bottom>
      <diagonal/>
    </border>
    <border>
      <left style="thin">
        <color rgb="FFD8D8D8"/>
      </left>
      <right style="thin">
        <color auto="1"/>
      </right>
      <top style="thin">
        <color auto="1"/>
      </top>
      <bottom style="thin">
        <color auto="1"/>
      </bottom>
      <diagonal/>
    </border>
    <border>
      <left style="thin">
        <color auto="1"/>
      </left>
      <right style="thin">
        <color rgb="FFD8D8D8"/>
      </right>
      <top style="thin">
        <color auto="1"/>
      </top>
      <bottom style="thin">
        <color auto="1"/>
      </bottom>
      <diagonal/>
    </border>
    <border>
      <left style="thin">
        <color rgb="FFD8D8D8"/>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rgb="FF7E7E7E"/>
      </left>
      <right style="thin">
        <color auto="1"/>
      </right>
      <top/>
      <bottom style="thin">
        <color auto="1"/>
      </bottom>
      <diagonal/>
    </border>
    <border>
      <left style="thin">
        <color rgb="FF7E7E7E"/>
      </left>
      <right style="thin">
        <color auto="1"/>
      </right>
      <top/>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rgb="FFD8D8D8"/>
      </bottom>
      <diagonal/>
    </border>
    <border>
      <left/>
      <right style="thin">
        <color auto="1"/>
      </right>
      <top/>
      <bottom style="thin">
        <color rgb="FFD8D8D8"/>
      </bottom>
      <diagonal/>
    </border>
    <border>
      <left/>
      <right/>
      <top/>
      <bottom style="thin">
        <color rgb="FFD8D8D8"/>
      </bottom>
      <diagonal/>
    </border>
    <border>
      <left style="thin">
        <color auto="1"/>
      </left>
      <right style="thin">
        <color auto="1"/>
      </right>
      <top/>
      <bottom/>
      <diagonal/>
    </border>
    <border>
      <left style="thin">
        <color auto="1"/>
      </left>
      <right style="thin">
        <color auto="1"/>
      </right>
      <top/>
      <bottom style="thin">
        <color rgb="FFD8D8D8"/>
      </bottom>
      <diagonal/>
    </border>
    <border>
      <left style="thin">
        <color auto="1"/>
      </left>
      <right style="thin">
        <color auto="1"/>
      </right>
      <top/>
      <bottom style="thin">
        <color auto="1"/>
      </bottom>
      <diagonal/>
    </border>
    <border>
      <left style="thin">
        <color rgb="FF969696"/>
      </left>
      <right style="thin">
        <color rgb="FF969696"/>
      </right>
      <top style="thin">
        <color rgb="FF969696"/>
      </top>
      <bottom style="thin">
        <color rgb="FF969696"/>
      </bottom>
      <diagonal/>
    </border>
    <border>
      <left style="thin">
        <color rgb="FF969696"/>
      </left>
      <right style="thin">
        <color rgb="FF969696"/>
      </right>
      <top style="thin">
        <color rgb="FF969696"/>
      </top>
      <bottom style="thin">
        <color rgb="FF969696"/>
      </bottom>
      <diagonal/>
    </border>
    <border>
      <left style="thin">
        <color rgb="FF969696"/>
      </left>
      <right style="thin">
        <color rgb="FF969696"/>
      </right>
      <top style="thin">
        <color rgb="FF969696"/>
      </top>
      <bottom style="thin">
        <color rgb="FF969696"/>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D8D8D8"/>
      </left>
      <right style="thin">
        <color rgb="FFD8D8D8"/>
      </right>
      <top style="thin">
        <color rgb="FFD8D8D8"/>
      </top>
      <bottom style="thin">
        <color rgb="FFD8D8D8"/>
      </bottom>
      <diagonal/>
    </border>
    <border>
      <left style="thin">
        <color rgb="FF969696"/>
      </left>
      <right style="thin">
        <color auto="1"/>
      </right>
      <top/>
      <bottom/>
      <diagonal/>
    </border>
    <border>
      <left style="thin">
        <color rgb="FF969696"/>
      </left>
      <right style="thin">
        <color auto="1"/>
      </right>
      <top/>
      <bottom style="thin">
        <color auto="1"/>
      </bottom>
      <diagonal/>
    </border>
    <border>
      <left style="thin">
        <color rgb="FF969696"/>
      </left>
      <right style="thin">
        <color auto="1"/>
      </right>
      <top style="thin">
        <color rgb="FFD8D8D8"/>
      </top>
      <bottom style="thin">
        <color auto="1"/>
      </bottom>
      <diagonal/>
    </border>
    <border>
      <left style="thin">
        <color rgb="FF969696"/>
      </left>
      <right style="thin">
        <color auto="1"/>
      </right>
      <top style="thin">
        <color auto="1"/>
      </top>
      <bottom style="thin">
        <color rgb="FFD8D8D8"/>
      </bottom>
      <diagonal/>
    </border>
    <border>
      <left style="thin">
        <color rgb="FFD8D8D8"/>
      </left>
      <right style="thin">
        <color auto="1"/>
      </right>
      <top style="thin">
        <color auto="1"/>
      </top>
      <bottom/>
      <diagonal/>
    </border>
    <border>
      <left style="thin">
        <color rgb="FFD8D8D8"/>
      </left>
      <right/>
      <top/>
      <bottom style="thin">
        <color auto="1"/>
      </bottom>
      <diagonal/>
    </border>
    <border>
      <left style="thin">
        <color auto="1"/>
      </left>
      <right style="thin">
        <color rgb="FFD8D8D8"/>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right/>
      <top/>
      <bottom/>
      <diagonal/>
    </border>
    <border>
      <left style="thin">
        <color auto="1"/>
      </left>
      <right style="thin">
        <color auto="1"/>
      </right>
      <top/>
      <bottom/>
      <diagonal/>
    </border>
    <border>
      <left style="thin">
        <color auto="1"/>
      </left>
      <right style="thin">
        <color rgb="FFD8D8D8"/>
      </right>
      <top/>
      <bottom style="thin">
        <color auto="1"/>
      </bottom>
      <diagonal/>
    </border>
    <border>
      <left style="thin">
        <color rgb="FFD8D8D8"/>
      </left>
      <right style="thin">
        <color auto="1"/>
      </right>
      <top/>
      <bottom/>
      <diagonal/>
    </border>
    <border>
      <left style="thin">
        <color rgb="FF7E7E7E"/>
      </left>
      <right style="thin">
        <color auto="1"/>
      </right>
      <top/>
      <bottom style="thin">
        <color auto="1"/>
      </bottom>
      <diagonal/>
    </border>
    <border>
      <left/>
      <right/>
      <top/>
      <bottom style="thin">
        <color auto="1"/>
      </bottom>
      <diagonal/>
    </border>
    <border>
      <left style="thin">
        <color rgb="FFC0C0C0"/>
      </left>
      <right style="thin">
        <color auto="1"/>
      </right>
      <top/>
      <bottom style="thin">
        <color auto="1"/>
      </bottom>
      <diagonal/>
    </border>
    <border>
      <left/>
      <right style="thin">
        <color rgb="FF969696"/>
      </right>
      <top style="thin">
        <color rgb="FFD8D8D8"/>
      </top>
      <bottom style="thin">
        <color auto="1"/>
      </bottom>
      <diagonal/>
    </border>
    <border>
      <left/>
      <right style="thin">
        <color rgb="FF969696"/>
      </right>
      <top style="thin">
        <color auto="1"/>
      </top>
      <bottom style="thin">
        <color rgb="FFD8D8D8"/>
      </bottom>
      <diagonal/>
    </border>
    <border>
      <left/>
      <right style="thin">
        <color rgb="FF969696"/>
      </right>
      <top/>
      <bottom style="thin">
        <color auto="1"/>
      </bottom>
      <diagonal/>
    </border>
    <border>
      <left style="thin">
        <color auto="1"/>
      </left>
      <right style="double">
        <color auto="1"/>
      </right>
      <top style="thin">
        <color auto="1"/>
      </top>
      <bottom/>
      <diagonal/>
    </border>
    <border>
      <left style="thin">
        <color auto="1"/>
      </left>
      <right style="double">
        <color auto="1"/>
      </right>
      <top/>
      <bottom/>
      <diagonal/>
    </border>
    <border>
      <left style="thin">
        <color auto="1"/>
      </left>
      <right style="double">
        <color auto="1"/>
      </right>
      <top style="thin">
        <color rgb="FFD8D8D8"/>
      </top>
      <bottom style="thin">
        <color auto="1"/>
      </bottom>
      <diagonal/>
    </border>
    <border>
      <left style="thin">
        <color auto="1"/>
      </left>
      <right style="double">
        <color auto="1"/>
      </right>
      <top style="thin">
        <color auto="1"/>
      </top>
      <bottom style="thin">
        <color rgb="FFD8D8D8"/>
      </bottom>
      <diagonal/>
    </border>
    <border>
      <left style="thin">
        <color auto="1"/>
      </left>
      <right style="double">
        <color auto="1"/>
      </right>
      <top/>
      <bottom style="thin">
        <color auto="1"/>
      </bottom>
      <diagonal/>
    </border>
    <border>
      <left style="thin">
        <color auto="1"/>
      </left>
      <right style="double">
        <color auto="1"/>
      </right>
      <top style="thin">
        <color auto="1"/>
      </top>
      <bottom style="thin">
        <color auto="1"/>
      </bottom>
      <diagonal/>
    </border>
    <border>
      <left/>
      <right style="thin">
        <color rgb="FFC0C0C0"/>
      </right>
      <top/>
      <bottom style="thin">
        <color auto="1"/>
      </bottom>
      <diagonal/>
    </border>
    <border>
      <left style="thin">
        <color auto="1"/>
      </left>
      <right style="double">
        <color auto="1"/>
      </right>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auto="1"/>
      </left>
      <right style="double">
        <color auto="1"/>
      </right>
      <top style="thin">
        <color auto="1"/>
      </top>
      <bottom style="thin">
        <color rgb="FFD8D8D8"/>
      </bottom>
      <diagonal/>
    </border>
    <border>
      <left/>
      <right style="thin">
        <color rgb="FFC0C0C0"/>
      </right>
      <top style="thin">
        <color auto="1"/>
      </top>
      <bottom style="thin">
        <color rgb="FFD8D8D8"/>
      </bottom>
      <diagonal/>
    </border>
    <border>
      <left style="thin">
        <color rgb="FFC0C0C0"/>
      </left>
      <right style="thin">
        <color auto="1"/>
      </right>
      <top style="thin">
        <color auto="1"/>
      </top>
      <bottom style="thin">
        <color rgb="FFD8D8D8"/>
      </bottom>
      <diagonal/>
    </border>
    <border>
      <left/>
      <right style="thin">
        <color rgb="FFC0C0C0"/>
      </right>
      <top style="thin">
        <color rgb="FFD8D8D8"/>
      </top>
      <bottom style="thin">
        <color auto="1"/>
      </bottom>
      <diagonal/>
    </border>
    <border>
      <left style="thin">
        <color rgb="FFC0C0C0"/>
      </left>
      <right style="thin">
        <color auto="1"/>
      </right>
      <top style="thin">
        <color rgb="FFD8D8D8"/>
      </top>
      <bottom style="thin">
        <color auto="1"/>
      </bottom>
      <diagonal/>
    </border>
    <border>
      <left style="thin">
        <color auto="1"/>
      </left>
      <right style="double">
        <color auto="1"/>
      </right>
      <top style="thin">
        <color auto="1"/>
      </top>
      <bottom style="thin">
        <color rgb="FFD8D8D8"/>
      </bottom>
      <diagonal/>
    </border>
    <border>
      <left style="thin">
        <color auto="1"/>
      </left>
      <right style="thin">
        <color auto="1"/>
      </right>
      <top style="thin">
        <color auto="1"/>
      </top>
      <bottom style="thin">
        <color rgb="FFD8D8D8"/>
      </bottom>
      <diagonal/>
    </border>
    <border>
      <left style="thin">
        <color auto="1"/>
      </left>
      <right style="double">
        <color auto="1"/>
      </right>
      <top style="thin">
        <color rgb="FFD8D8D8"/>
      </top>
      <bottom style="thin">
        <color auto="1"/>
      </bottom>
      <diagonal/>
    </border>
    <border>
      <left style="thin">
        <color auto="1"/>
      </left>
      <right style="thin">
        <color auto="1"/>
      </right>
      <top style="thin">
        <color rgb="FFD8D8D8"/>
      </top>
      <bottom style="thin">
        <color auto="1"/>
      </bottom>
      <diagonal/>
    </border>
    <border>
      <left style="double">
        <color auto="1"/>
      </left>
      <right style="thin">
        <color auto="1"/>
      </right>
      <top style="thin">
        <color auto="1"/>
      </top>
      <bottom style="thin">
        <color rgb="FFD8D8D8"/>
      </bottom>
      <diagonal/>
    </border>
    <border>
      <left style="double">
        <color auto="1"/>
      </left>
      <right style="thin">
        <color auto="1"/>
      </right>
      <top style="thin">
        <color rgb="FFD8D8D8"/>
      </top>
      <bottom style="thin">
        <color auto="1"/>
      </bottom>
      <diagonal/>
    </border>
    <border>
      <left style="thin">
        <color auto="1"/>
      </left>
      <right/>
      <top/>
      <bottom/>
      <diagonal/>
    </border>
    <border>
      <left/>
      <right style="thin">
        <color auto="1"/>
      </right>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top style="thin">
        <color auto="1"/>
      </top>
      <bottom style="thin">
        <color auto="1"/>
      </bottom>
      <diagonal/>
    </border>
    <border>
      <left style="thin">
        <color auto="1"/>
      </left>
      <right/>
      <top/>
      <bottom/>
      <diagonal/>
    </border>
    <border>
      <left style="thin">
        <color auto="1"/>
      </left>
      <right/>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style="thin">
        <color rgb="FFD8D8D8"/>
      </top>
      <bottom style="thin">
        <color auto="1"/>
      </bottom>
      <diagonal/>
    </border>
    <border>
      <left/>
      <right style="thin">
        <color auto="1"/>
      </right>
      <top style="thin">
        <color rgb="FFD8D8D8"/>
      </top>
      <bottom style="thin">
        <color auto="1"/>
      </bottom>
      <diagonal/>
    </border>
    <border>
      <left style="thin">
        <color auto="1"/>
      </left>
      <right/>
      <top style="thin">
        <color auto="1"/>
      </top>
      <bottom style="thin">
        <color rgb="FFD8D8D8"/>
      </bottom>
      <diagonal/>
    </border>
    <border>
      <left/>
      <right style="thin">
        <color auto="1"/>
      </right>
      <top style="thin">
        <color auto="1"/>
      </top>
      <bottom style="thin">
        <color rgb="FFD8D8D8"/>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style="thin">
        <color auto="1"/>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style="thin">
        <color rgb="FFD8D8D8"/>
      </left>
      <right style="thin">
        <color rgb="FFD8D8D8"/>
      </right>
      <top style="thin">
        <color auto="1"/>
      </top>
      <bottom/>
      <diagonal/>
    </border>
    <border>
      <left style="thin">
        <color rgb="FFD8D8D8"/>
      </left>
      <right/>
      <top style="thin">
        <color auto="1"/>
      </top>
      <bottom/>
      <diagonal/>
    </border>
    <border>
      <left style="thin">
        <color rgb="FFD8D8D8"/>
      </left>
      <right style="thin">
        <color rgb="FFD8D8D8"/>
      </right>
      <top/>
      <bottom style="thin">
        <color auto="1"/>
      </bottom>
      <diagonal/>
    </border>
    <border>
      <left style="thin">
        <color rgb="FFD8D8D8"/>
      </left>
      <right/>
      <top/>
      <bottom style="thin">
        <color auto="1"/>
      </bottom>
      <diagonal/>
    </border>
    <border>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top/>
      <bottom style="thin">
        <color rgb="FF969696"/>
      </bottom>
      <diagonal/>
    </border>
    <border>
      <left style="thin">
        <color rgb="FF969696"/>
      </left>
      <right/>
      <top style="thin">
        <color rgb="FF969696"/>
      </top>
      <bottom/>
      <diagonal/>
    </border>
    <border>
      <left/>
      <right style="thin">
        <color rgb="FF969696"/>
      </right>
      <top style="thin">
        <color rgb="FF969696"/>
      </top>
      <bottom/>
      <diagonal/>
    </border>
    <border>
      <left style="thin">
        <color auto="1"/>
      </left>
      <right style="thin">
        <color auto="1"/>
      </right>
      <top/>
      <bottom/>
      <diagonal/>
    </border>
    <border>
      <left/>
      <right style="thin">
        <color rgb="FF969696"/>
      </right>
      <top/>
      <bottom/>
      <diagonal/>
    </border>
    <border>
      <left/>
      <right/>
      <top style="thin">
        <color rgb="FF969696"/>
      </top>
      <bottom/>
      <diagonal/>
    </border>
    <border>
      <left style="thin">
        <color rgb="FFD8D8D8"/>
      </left>
      <right/>
      <top/>
      <bottom style="thin">
        <color auto="1"/>
      </bottom>
      <diagonal/>
    </border>
    <border>
      <left style="thin">
        <color rgb="FF969696"/>
      </left>
      <right/>
      <top style="thin">
        <color rgb="FF969696"/>
      </top>
      <bottom style="thin">
        <color rgb="FF969696"/>
      </bottom>
      <diagonal/>
    </border>
    <border>
      <left/>
      <right/>
      <top style="thin">
        <color rgb="FF969696"/>
      </top>
      <bottom style="thin">
        <color rgb="FF969696"/>
      </bottom>
      <diagonal/>
    </border>
    <border>
      <left/>
      <right style="thin">
        <color rgb="FF969696"/>
      </right>
      <top style="thin">
        <color rgb="FF969696"/>
      </top>
      <bottom style="thin">
        <color rgb="FF969696"/>
      </bottom>
      <diagonal/>
    </border>
    <border>
      <left style="thin">
        <color auto="1"/>
      </left>
      <right/>
      <top style="thin">
        <color rgb="FFD8D8D8"/>
      </top>
      <bottom/>
      <diagonal/>
    </border>
    <border>
      <left/>
      <right/>
      <top style="thin">
        <color rgb="FFD8D8D8"/>
      </top>
      <bottom/>
      <diagonal/>
    </border>
    <border>
      <left/>
      <right style="thin">
        <color auto="1"/>
      </right>
      <top style="thin">
        <color rgb="FFD8D8D8"/>
      </top>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style="thin">
        <color theme="0" tint="-0.24994659260841701"/>
      </bottom>
      <diagonal/>
    </border>
    <border>
      <left/>
      <right/>
      <top/>
      <bottom style="thin">
        <color theme="0" tint="-0.24994659260841701"/>
      </bottom>
      <diagonal/>
    </border>
    <border>
      <left/>
      <right style="thin">
        <color auto="1"/>
      </right>
      <top/>
      <bottom style="thin">
        <color theme="0" tint="-0.24994659260841701"/>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style="thin">
        <color rgb="FF969696"/>
      </top>
      <bottom/>
      <diagonal/>
    </border>
    <border>
      <left style="thin">
        <color theme="0" tint="-4.9989318521683403E-2"/>
      </left>
      <right style="thin">
        <color rgb="FF969696"/>
      </right>
      <top style="thin">
        <color rgb="FF969696"/>
      </top>
      <bottom/>
      <diagonal/>
    </border>
    <border>
      <left style="thin">
        <color theme="0" tint="-4.9989318521683403E-2"/>
      </left>
      <right style="thin">
        <color theme="0" tint="-4.9989318521683403E-2"/>
      </right>
      <top/>
      <bottom style="thin">
        <color rgb="FF969696"/>
      </bottom>
      <diagonal/>
    </border>
    <border>
      <left style="thin">
        <color theme="0" tint="-4.9989318521683403E-2"/>
      </left>
      <right style="thin">
        <color rgb="FF969696"/>
      </right>
      <top/>
      <bottom style="thin">
        <color rgb="FF969696"/>
      </bottom>
      <diagonal/>
    </border>
    <border>
      <left style="thin">
        <color theme="0"/>
      </left>
      <right style="thin">
        <color theme="0"/>
      </right>
      <top style="thin">
        <color theme="0"/>
      </top>
      <bottom style="thin">
        <color theme="0"/>
      </bottom>
      <diagonal/>
    </border>
    <border>
      <left style="thin">
        <color auto="1"/>
      </left>
      <right style="thin">
        <color theme="0" tint="-0.14996795556505021"/>
      </right>
      <top style="thin">
        <color auto="1"/>
      </top>
      <bottom/>
      <diagonal/>
    </border>
    <border>
      <left style="thin">
        <color auto="1"/>
      </left>
      <right style="thin">
        <color theme="0" tint="-0.14996795556505021"/>
      </right>
      <top/>
      <bottom/>
      <diagonal/>
    </border>
    <border>
      <left style="thin">
        <color theme="0"/>
      </left>
      <right style="thin">
        <color theme="0"/>
      </right>
      <top/>
      <bottom style="thin">
        <color theme="0"/>
      </bottom>
      <diagonal/>
    </border>
    <border>
      <left/>
      <right style="thin">
        <color theme="0" tint="-4.9989318521683403E-2"/>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theme="0" tint="-0.14996795556505021"/>
      </left>
      <right style="thin">
        <color auto="1"/>
      </right>
      <top style="thin">
        <color auto="1"/>
      </top>
      <bottom style="thin">
        <color auto="1"/>
      </bottom>
      <diagonal/>
    </border>
    <border>
      <left style="thin">
        <color auto="1"/>
      </left>
      <right style="thin">
        <color auto="1"/>
      </right>
      <top style="thin">
        <color theme="0" tint="-0.34998626667073579"/>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auto="1"/>
      </left>
      <right style="thin">
        <color auto="1"/>
      </right>
      <top style="thin">
        <color rgb="FFD8D8D8"/>
      </top>
      <bottom/>
      <diagonal/>
    </border>
  </borders>
  <cellStyleXfs count="279">
    <xf numFmtId="0" fontId="0" fillId="0" borderId="0"/>
    <xf numFmtId="0" fontId="4" fillId="2" borderId="1"/>
    <xf numFmtId="0" fontId="4" fillId="3" borderId="2"/>
    <xf numFmtId="0" fontId="4" fillId="4" borderId="3"/>
    <xf numFmtId="0" fontId="4" fillId="5" borderId="4"/>
    <xf numFmtId="0" fontId="4" fillId="6" borderId="5"/>
    <xf numFmtId="0" fontId="4" fillId="7" borderId="6"/>
    <xf numFmtId="0" fontId="4" fillId="8" borderId="7"/>
    <xf numFmtId="0" fontId="4" fillId="9" borderId="8"/>
    <xf numFmtId="0" fontId="4" fillId="10" borderId="9"/>
    <xf numFmtId="0" fontId="4" fillId="5" borderId="4"/>
    <xf numFmtId="0" fontId="4" fillId="8" borderId="7"/>
    <xf numFmtId="0" fontId="4" fillId="11" borderId="10"/>
    <xf numFmtId="164" fontId="3" fillId="0" borderId="0"/>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5" fillId="0" borderId="0"/>
    <xf numFmtId="0" fontId="5" fillId="0" borderId="0"/>
    <xf numFmtId="0" fontId="3" fillId="20" borderId="19"/>
    <xf numFmtId="9" fontId="3" fillId="0" borderId="0"/>
    <xf numFmtId="9" fontId="3" fillId="0" borderId="0"/>
    <xf numFmtId="9" fontId="3" fillId="0" borderId="0"/>
    <xf numFmtId="9" fontId="3" fillId="0" borderId="0"/>
    <xf numFmtId="0" fontId="33" fillId="23" borderId="22"/>
    <xf numFmtId="0" fontId="4" fillId="24" borderId="23"/>
    <xf numFmtId="0" fontId="34" fillId="25" borderId="24"/>
    <xf numFmtId="0" fontId="4" fillId="26" borderId="25"/>
    <xf numFmtId="0" fontId="4" fillId="27" borderId="26"/>
    <xf numFmtId="0" fontId="4" fillId="28" borderId="27"/>
    <xf numFmtId="0" fontId="4" fillId="29" borderId="28"/>
    <xf numFmtId="0" fontId="4" fillId="30" borderId="29"/>
    <xf numFmtId="0" fontId="4" fillId="31" borderId="30"/>
    <xf numFmtId="0" fontId="32" fillId="15" borderId="14"/>
    <xf numFmtId="0" fontId="4" fillId="32" borderId="31"/>
    <xf numFmtId="0" fontId="4" fillId="33" borderId="32"/>
    <xf numFmtId="0" fontId="4" fillId="28" borderId="27"/>
    <xf numFmtId="0" fontId="4" fillId="31" borderId="30"/>
    <xf numFmtId="0" fontId="4" fillId="34" borderId="33"/>
    <xf numFmtId="0" fontId="4" fillId="34" borderId="33"/>
    <xf numFmtId="0" fontId="4" fillId="31" borderId="30"/>
    <xf numFmtId="0" fontId="32" fillId="15" borderId="14"/>
    <xf numFmtId="0" fontId="4" fillId="28" borderId="27"/>
    <xf numFmtId="0" fontId="4" fillId="33" borderId="32"/>
    <xf numFmtId="0" fontId="34" fillId="25" borderId="24"/>
    <xf numFmtId="0" fontId="33" fillId="23" borderId="22"/>
    <xf numFmtId="0" fontId="4" fillId="32" borderId="31"/>
    <xf numFmtId="0" fontId="4" fillId="31" borderId="30"/>
    <xf numFmtId="0" fontId="36" fillId="18" borderId="17"/>
    <xf numFmtId="0" fontId="4" fillId="30" borderId="29"/>
    <xf numFmtId="0" fontId="4" fillId="29" borderId="28"/>
    <xf numFmtId="0" fontId="3" fillId="0" borderId="0"/>
    <xf numFmtId="0" fontId="4" fillId="28" borderId="27"/>
    <xf numFmtId="0" fontId="4" fillId="26" borderId="25"/>
    <xf numFmtId="0" fontId="3" fillId="20" borderId="19"/>
    <xf numFmtId="0" fontId="3" fillId="35" borderId="34"/>
    <xf numFmtId="0" fontId="37" fillId="21" borderId="20"/>
    <xf numFmtId="9" fontId="4" fillId="0" borderId="0"/>
    <xf numFmtId="9" fontId="3" fillId="0" borderId="0"/>
    <xf numFmtId="0" fontId="4" fillId="24" borderId="23"/>
    <xf numFmtId="0" fontId="38" fillId="22" borderId="21"/>
    <xf numFmtId="0" fontId="4" fillId="27" borderId="26"/>
    <xf numFmtId="0" fontId="5" fillId="0" borderId="0"/>
    <xf numFmtId="0" fontId="32" fillId="15" borderId="14"/>
    <xf numFmtId="0" fontId="36" fillId="18" borderId="17"/>
    <xf numFmtId="0" fontId="3" fillId="20" borderId="19"/>
    <xf numFmtId="0" fontId="3" fillId="35" borderId="34"/>
    <xf numFmtId="0" fontId="37" fillId="21" borderId="20"/>
    <xf numFmtId="0" fontId="38" fillId="22" borderId="21"/>
    <xf numFmtId="0" fontId="4" fillId="2" borderId="1"/>
    <xf numFmtId="0" fontId="32" fillId="15" borderId="14"/>
    <xf numFmtId="0" fontId="4" fillId="3" borderId="2"/>
    <xf numFmtId="0" fontId="4" fillId="11" borderId="10"/>
    <xf numFmtId="0" fontId="4" fillId="4" borderId="3"/>
    <xf numFmtId="0" fontId="4" fillId="5" borderId="4"/>
    <xf numFmtId="0" fontId="4" fillId="6" borderId="5"/>
    <xf numFmtId="0" fontId="4" fillId="7" borderId="6"/>
    <xf numFmtId="0" fontId="4" fillId="8" borderId="7"/>
    <xf numFmtId="0" fontId="4" fillId="9" borderId="8"/>
    <xf numFmtId="0" fontId="4" fillId="10" borderId="9"/>
    <xf numFmtId="0" fontId="32" fillId="15" borderId="14"/>
    <xf numFmtId="0" fontId="4" fillId="5" borderId="4"/>
    <xf numFmtId="0" fontId="4" fillId="8" borderId="7"/>
    <xf numFmtId="0" fontId="4" fillId="11" borderId="10"/>
    <xf numFmtId="0" fontId="34" fillId="16" borderId="15"/>
    <xf numFmtId="0" fontId="4" fillId="11" borderId="10"/>
    <xf numFmtId="0" fontId="33" fillId="17" borderId="16"/>
    <xf numFmtId="0" fontId="4" fillId="8" borderId="7"/>
    <xf numFmtId="0" fontId="4" fillId="5" borderId="4"/>
    <xf numFmtId="0" fontId="4" fillId="10" borderId="9"/>
    <xf numFmtId="0" fontId="4" fillId="11" borderId="10"/>
    <xf numFmtId="0" fontId="4" fillId="9" borderId="8"/>
    <xf numFmtId="0" fontId="32" fillId="15" borderId="14"/>
    <xf numFmtId="0" fontId="4" fillId="8" borderId="7"/>
    <xf numFmtId="0" fontId="4" fillId="7" borderId="6"/>
    <xf numFmtId="0" fontId="34" fillId="16" borderId="15"/>
    <xf numFmtId="0" fontId="33" fillId="17" borderId="16"/>
    <xf numFmtId="0" fontId="4" fillId="8" borderId="7"/>
    <xf numFmtId="0" fontId="4" fillId="6" borderId="5"/>
    <xf numFmtId="0" fontId="4" fillId="5" borderId="4"/>
    <xf numFmtId="0" fontId="36" fillId="18" borderId="17"/>
    <xf numFmtId="0" fontId="36" fillId="18" borderId="17"/>
    <xf numFmtId="0" fontId="4" fillId="4" borderId="3"/>
    <xf numFmtId="0" fontId="4" fillId="5" borderId="4"/>
    <xf numFmtId="0" fontId="3" fillId="0" borderId="0"/>
    <xf numFmtId="0" fontId="4" fillId="3" borderId="2"/>
    <xf numFmtId="0" fontId="32" fillId="15" borderId="14"/>
    <xf numFmtId="0" fontId="4" fillId="2" borderId="1"/>
    <xf numFmtId="0" fontId="3" fillId="20" borderId="19"/>
    <xf numFmtId="0" fontId="3" fillId="20" borderId="19"/>
    <xf numFmtId="0" fontId="37" fillId="21" borderId="20"/>
    <xf numFmtId="9" fontId="3" fillId="0" borderId="0"/>
    <xf numFmtId="9" fontId="3" fillId="0" borderId="0"/>
    <xf numFmtId="0" fontId="4" fillId="10" borderId="9"/>
    <xf numFmtId="0" fontId="38" fillId="22" borderId="21"/>
    <xf numFmtId="0" fontId="32" fillId="15" borderId="14"/>
    <xf numFmtId="0" fontId="4" fillId="8" borderId="7"/>
    <xf numFmtId="0" fontId="34" fillId="16" borderId="15"/>
    <xf numFmtId="0" fontId="33" fillId="17" borderId="16"/>
    <xf numFmtId="0" fontId="4" fillId="5" borderId="4"/>
    <xf numFmtId="0" fontId="4" fillId="11" borderId="10"/>
    <xf numFmtId="0" fontId="34" fillId="16" borderId="15"/>
    <xf numFmtId="0" fontId="4" fillId="8" borderId="7"/>
    <xf numFmtId="0" fontId="36" fillId="18" borderId="17"/>
    <xf numFmtId="0" fontId="33" fillId="17" borderId="16"/>
    <xf numFmtId="0" fontId="4" fillId="5" borderId="4"/>
    <xf numFmtId="0" fontId="3" fillId="0" borderId="0"/>
    <xf numFmtId="0" fontId="4" fillId="10" borderId="9"/>
    <xf numFmtId="0" fontId="4" fillId="10" borderId="9"/>
    <xf numFmtId="0" fontId="4" fillId="9" borderId="8"/>
    <xf numFmtId="0" fontId="4" fillId="8" borderId="7"/>
    <xf numFmtId="0" fontId="4" fillId="9" borderId="8"/>
    <xf numFmtId="0" fontId="4" fillId="7" borderId="6"/>
    <xf numFmtId="0" fontId="4" fillId="6" borderId="5"/>
    <xf numFmtId="0" fontId="4" fillId="5" borderId="4"/>
    <xf numFmtId="0" fontId="4" fillId="8" borderId="7"/>
    <xf numFmtId="0" fontId="4" fillId="4" borderId="3"/>
    <xf numFmtId="0" fontId="36" fillId="18" borderId="17"/>
    <xf numFmtId="0" fontId="4" fillId="3" borderId="2"/>
    <xf numFmtId="0" fontId="4" fillId="2" borderId="1"/>
    <xf numFmtId="0" fontId="3" fillId="20" borderId="19"/>
    <xf numFmtId="0" fontId="3" fillId="20" borderId="19"/>
    <xf numFmtId="0" fontId="37" fillId="21" borderId="20"/>
    <xf numFmtId="9" fontId="3" fillId="0" borderId="0"/>
    <xf numFmtId="9" fontId="3" fillId="0" borderId="0"/>
    <xf numFmtId="0" fontId="4" fillId="7" borderId="6"/>
    <xf numFmtId="0" fontId="38" fillId="22" borderId="21"/>
    <xf numFmtId="0" fontId="3" fillId="0" borderId="0"/>
    <xf numFmtId="0" fontId="4" fillId="9" borderId="8"/>
    <xf numFmtId="0" fontId="4" fillId="8" borderId="7"/>
    <xf numFmtId="0" fontId="4" fillId="7" borderId="6"/>
    <xf numFmtId="0" fontId="4" fillId="6" borderId="5"/>
    <xf numFmtId="0" fontId="34" fillId="16" borderId="15"/>
    <xf numFmtId="0" fontId="4" fillId="5" borderId="4"/>
    <xf numFmtId="0" fontId="33" fillId="17" borderId="16"/>
    <xf numFmtId="0" fontId="4" fillId="4" borderId="3"/>
    <xf numFmtId="0" fontId="4" fillId="3" borderId="2"/>
    <xf numFmtId="0" fontId="4" fillId="2" borderId="1"/>
    <xf numFmtId="0" fontId="3" fillId="20" borderId="19"/>
    <xf numFmtId="0" fontId="3" fillId="20" borderId="19"/>
    <xf numFmtId="0" fontId="37" fillId="21" borderId="20"/>
    <xf numFmtId="9" fontId="3" fillId="0" borderId="0"/>
    <xf numFmtId="9" fontId="3" fillId="0" borderId="0"/>
    <xf numFmtId="0" fontId="38" fillId="22" borderId="21"/>
    <xf numFmtId="0" fontId="3" fillId="0" borderId="0"/>
    <xf numFmtId="0" fontId="4" fillId="6" borderId="5"/>
    <xf numFmtId="0" fontId="4" fillId="5" borderId="4"/>
    <xf numFmtId="0" fontId="4" fillId="4" borderId="3"/>
    <xf numFmtId="0" fontId="4" fillId="3" borderId="2"/>
    <xf numFmtId="0" fontId="4" fillId="2" borderId="1"/>
    <xf numFmtId="0" fontId="3" fillId="20" borderId="19"/>
    <xf numFmtId="0" fontId="3" fillId="20" borderId="19"/>
    <xf numFmtId="0" fontId="37" fillId="21" borderId="20"/>
    <xf numFmtId="9" fontId="3" fillId="0" borderId="0"/>
    <xf numFmtId="9" fontId="3" fillId="0" borderId="0"/>
    <xf numFmtId="0" fontId="38" fillId="22" borderId="21"/>
    <xf numFmtId="0" fontId="36" fillId="18" borderId="17"/>
    <xf numFmtId="0" fontId="3" fillId="0" borderId="0"/>
    <xf numFmtId="0" fontId="3" fillId="20" borderId="19"/>
    <xf numFmtId="0" fontId="3" fillId="20" borderId="19"/>
    <xf numFmtId="0" fontId="37" fillId="21" borderId="20"/>
    <xf numFmtId="9" fontId="3" fillId="0" borderId="0"/>
    <xf numFmtId="9" fontId="3" fillId="0" borderId="0"/>
    <xf numFmtId="0" fontId="38" fillId="22" borderId="21"/>
    <xf numFmtId="0" fontId="36" fillId="18" borderId="17"/>
    <xf numFmtId="0" fontId="3" fillId="0" borderId="0"/>
    <xf numFmtId="0" fontId="3" fillId="20" borderId="19"/>
    <xf numFmtId="0" fontId="3" fillId="35" borderId="34"/>
    <xf numFmtId="0" fontId="37" fillId="21" borderId="20"/>
    <xf numFmtId="9" fontId="4" fillId="0" borderId="0"/>
    <xf numFmtId="9" fontId="3" fillId="0" borderId="0"/>
    <xf numFmtId="0" fontId="38" fillId="22" borderId="21"/>
    <xf numFmtId="0" fontId="32" fillId="15" borderId="14"/>
    <xf numFmtId="0" fontId="36" fillId="18" borderId="17"/>
    <xf numFmtId="0" fontId="3" fillId="20" borderId="19"/>
    <xf numFmtId="0" fontId="3" fillId="35" borderId="34"/>
    <xf numFmtId="0" fontId="37" fillId="21" borderId="20"/>
    <xf numFmtId="0" fontId="38" fillId="22" borderId="21"/>
    <xf numFmtId="0" fontId="4" fillId="2" borderId="1"/>
    <xf numFmtId="0" fontId="32" fillId="15" borderId="14"/>
    <xf numFmtId="0" fontId="4" fillId="3" borderId="2"/>
    <xf numFmtId="0" fontId="4" fillId="4" borderId="3"/>
    <xf numFmtId="0" fontId="4" fillId="5" borderId="4"/>
    <xf numFmtId="0" fontId="4" fillId="6" borderId="5"/>
    <xf numFmtId="0" fontId="4" fillId="7" borderId="6"/>
    <xf numFmtId="0" fontId="4" fillId="8" borderId="7"/>
    <xf numFmtId="0" fontId="4" fillId="9" borderId="8"/>
    <xf numFmtId="0" fontId="4" fillId="10" borderId="9"/>
    <xf numFmtId="0" fontId="32" fillId="15" borderId="14"/>
    <xf numFmtId="0" fontId="4" fillId="5" borderId="4"/>
    <xf numFmtId="0" fontId="4" fillId="8" borderId="7"/>
    <xf numFmtId="0" fontId="4" fillId="11" borderId="10"/>
    <xf numFmtId="0" fontId="32" fillId="15" borderId="14"/>
    <xf numFmtId="0" fontId="34" fillId="16" borderId="15"/>
    <xf numFmtId="0" fontId="33" fillId="17" borderId="16"/>
    <xf numFmtId="0" fontId="36" fillId="18" borderId="17"/>
    <xf numFmtId="0" fontId="36" fillId="18" borderId="17"/>
    <xf numFmtId="0" fontId="32" fillId="15" borderId="14"/>
    <xf numFmtId="0" fontId="3" fillId="20" borderId="19"/>
    <xf numFmtId="0" fontId="3" fillId="20" borderId="19"/>
    <xf numFmtId="0" fontId="37" fillId="21" borderId="20"/>
    <xf numFmtId="9" fontId="3" fillId="0" borderId="0"/>
    <xf numFmtId="0" fontId="38" fillId="22" borderId="21"/>
    <xf numFmtId="0" fontId="32" fillId="15" borderId="14"/>
    <xf numFmtId="0" fontId="36" fillId="18" borderId="17"/>
    <xf numFmtId="0" fontId="36" fillId="18" borderId="17"/>
    <xf numFmtId="0" fontId="3" fillId="20" borderId="19"/>
    <xf numFmtId="0" fontId="3" fillId="20" borderId="19"/>
    <xf numFmtId="0" fontId="37" fillId="21" borderId="20"/>
    <xf numFmtId="0" fontId="38" fillId="22" borderId="21"/>
    <xf numFmtId="0" fontId="3" fillId="20" borderId="19"/>
    <xf numFmtId="0" fontId="3" fillId="20" borderId="19"/>
    <xf numFmtId="0" fontId="37" fillId="21" borderId="20"/>
    <xf numFmtId="0" fontId="38" fillId="22" borderId="21"/>
    <xf numFmtId="0" fontId="3" fillId="20" borderId="19"/>
    <xf numFmtId="0" fontId="3" fillId="20" borderId="19"/>
    <xf numFmtId="0" fontId="37" fillId="21" borderId="20"/>
    <xf numFmtId="0" fontId="38" fillId="22" borderId="21"/>
    <xf numFmtId="0" fontId="36" fillId="18" borderId="17"/>
    <xf numFmtId="0" fontId="3" fillId="20" borderId="19"/>
    <xf numFmtId="0" fontId="3" fillId="20" borderId="19"/>
    <xf numFmtId="0" fontId="37" fillId="21" borderId="20"/>
    <xf numFmtId="0" fontId="38" fillId="22" borderId="21"/>
    <xf numFmtId="0" fontId="4" fillId="0" borderId="0"/>
    <xf numFmtId="0" fontId="3" fillId="0" borderId="0"/>
    <xf numFmtId="164" fontId="3" fillId="0" borderId="0"/>
    <xf numFmtId="0" fontId="3" fillId="0" borderId="0"/>
    <xf numFmtId="0" fontId="169" fillId="214" borderId="152"/>
    <xf numFmtId="0" fontId="169" fillId="214" borderId="152"/>
    <xf numFmtId="0" fontId="171" fillId="214" borderId="152"/>
    <xf numFmtId="0" fontId="174" fillId="214" borderId="152">
      <alignment vertical="top"/>
      <protection locked="0"/>
    </xf>
    <xf numFmtId="0" fontId="169" fillId="214" borderId="152"/>
    <xf numFmtId="0" fontId="2" fillId="214" borderId="152"/>
    <xf numFmtId="0" fontId="5" fillId="214" borderId="152"/>
    <xf numFmtId="0" fontId="17" fillId="214" borderId="152"/>
    <xf numFmtId="0" fontId="205" fillId="214" borderId="152" applyNumberFormat="0" applyFill="0" applyBorder="0" applyAlignment="0" applyProtection="0"/>
    <xf numFmtId="0" fontId="5" fillId="214" borderId="152"/>
    <xf numFmtId="0" fontId="22" fillId="214" borderId="152">
      <alignment vertical="top"/>
    </xf>
    <xf numFmtId="164" fontId="3" fillId="214" borderId="152"/>
    <xf numFmtId="0" fontId="1" fillId="214" borderId="152"/>
    <xf numFmtId="0" fontId="5" fillId="214" borderId="152"/>
    <xf numFmtId="0" fontId="4" fillId="214" borderId="152"/>
    <xf numFmtId="0" fontId="169" fillId="214" borderId="152"/>
    <xf numFmtId="0" fontId="169" fillId="214" borderId="152"/>
  </cellStyleXfs>
  <cellXfs count="1818">
    <xf numFmtId="0" fontId="3" fillId="0" borderId="0" xfId="0" applyNumberFormat="1" applyFont="1" applyFill="1" applyBorder="1" applyAlignment="1" applyProtection="1"/>
    <xf numFmtId="0" fontId="3" fillId="0" borderId="0" xfId="0" applyNumberFormat="1" applyFont="1" applyFill="1" applyBorder="1" applyAlignment="1" applyProtection="1"/>
    <xf numFmtId="0" fontId="3" fillId="0" borderId="0" xfId="30" applyNumberFormat="1" applyFont="1" applyFill="1" applyBorder="1" applyAlignment="1" applyProtection="1"/>
    <xf numFmtId="0" fontId="3" fillId="36" borderId="35" xfId="30" applyNumberFormat="1" applyFont="1" applyFill="1" applyBorder="1" applyAlignment="1" applyProtection="1"/>
    <xf numFmtId="0" fontId="7" fillId="36" borderId="35" xfId="30" applyNumberFormat="1" applyFont="1" applyFill="1" applyBorder="1" applyAlignment="1" applyProtection="1">
      <protection hidden="1"/>
    </xf>
    <xf numFmtId="0" fontId="7" fillId="36" borderId="35" xfId="30" applyNumberFormat="1" applyFont="1" applyFill="1" applyBorder="1" applyAlignment="1" applyProtection="1">
      <alignment horizontal="left"/>
      <protection hidden="1"/>
    </xf>
    <xf numFmtId="1" fontId="7" fillId="36" borderId="35" xfId="30" applyNumberFormat="1" applyFont="1" applyFill="1" applyBorder="1" applyAlignment="1" applyProtection="1">
      <protection hidden="1"/>
    </xf>
    <xf numFmtId="0" fontId="21" fillId="37" borderId="36" xfId="30" applyNumberFormat="1" applyFont="1" applyFill="1" applyBorder="1" applyAlignment="1" applyProtection="1">
      <alignment horizontal="left"/>
      <protection hidden="1"/>
    </xf>
    <xf numFmtId="0" fontId="17" fillId="37" borderId="36" xfId="26" applyNumberFormat="1" applyFont="1" applyFill="1" applyBorder="1" applyAlignment="1" applyProtection="1">
      <alignment horizontal="center"/>
      <protection hidden="1"/>
    </xf>
    <xf numFmtId="0" fontId="3" fillId="36" borderId="35" xfId="30" applyNumberFormat="1" applyFont="1" applyFill="1" applyBorder="1" applyAlignment="1" applyProtection="1">
      <protection locked="0"/>
    </xf>
    <xf numFmtId="0" fontId="9" fillId="36" borderId="35" xfId="30" applyNumberFormat="1" applyFont="1" applyFill="1" applyBorder="1" applyAlignment="1" applyProtection="1">
      <alignment horizontal="center"/>
      <protection hidden="1"/>
    </xf>
    <xf numFmtId="0" fontId="7" fillId="36" borderId="35" xfId="30" applyNumberFormat="1" applyFont="1" applyFill="1" applyBorder="1" applyAlignment="1" applyProtection="1">
      <alignment horizontal="centerContinuous"/>
      <protection hidden="1"/>
    </xf>
    <xf numFmtId="0" fontId="20" fillId="0" borderId="0" xfId="30" applyNumberFormat="1" applyFont="1" applyFill="1" applyBorder="1" applyAlignment="1" applyProtection="1">
      <protection locked="0"/>
    </xf>
    <xf numFmtId="0" fontId="20" fillId="0" borderId="0" xfId="30" applyNumberFormat="1" applyFont="1" applyFill="1" applyBorder="1" applyAlignment="1" applyProtection="1">
      <protection hidden="1"/>
    </xf>
    <xf numFmtId="165" fontId="20" fillId="0" borderId="0" xfId="30" applyNumberFormat="1" applyFont="1" applyFill="1" applyBorder="1" applyAlignment="1" applyProtection="1">
      <protection hidden="1"/>
    </xf>
    <xf numFmtId="0" fontId="20" fillId="0" borderId="39" xfId="30" applyNumberFormat="1" applyFont="1" applyFill="1" applyBorder="1" applyAlignment="1" applyProtection="1">
      <protection hidden="1"/>
    </xf>
    <xf numFmtId="0" fontId="20" fillId="40" borderId="40" xfId="30" applyNumberFormat="1" applyFont="1" applyFill="1" applyBorder="1" applyAlignment="1" applyProtection="1">
      <alignment horizontal="center"/>
      <protection hidden="1"/>
    </xf>
    <xf numFmtId="165" fontId="20" fillId="40" borderId="40" xfId="30" applyNumberFormat="1" applyFont="1" applyFill="1" applyBorder="1" applyAlignment="1" applyProtection="1">
      <alignment horizontal="center"/>
      <protection hidden="1"/>
    </xf>
    <xf numFmtId="0" fontId="7" fillId="0" borderId="0" xfId="30" applyNumberFormat="1" applyFont="1" applyFill="1" applyBorder="1" applyAlignment="1" applyProtection="1">
      <protection hidden="1"/>
    </xf>
    <xf numFmtId="165" fontId="20" fillId="0" borderId="39" xfId="30" applyNumberFormat="1" applyFont="1" applyFill="1" applyBorder="1" applyAlignment="1" applyProtection="1">
      <protection hidden="1"/>
    </xf>
    <xf numFmtId="0" fontId="21" fillId="36" borderId="35" xfId="30" applyNumberFormat="1" applyFont="1" applyFill="1" applyBorder="1" applyAlignment="1" applyProtection="1">
      <alignment horizontal="center"/>
    </xf>
    <xf numFmtId="0" fontId="47" fillId="36" borderId="35" xfId="30" applyNumberFormat="1" applyFont="1" applyFill="1" applyBorder="1" applyAlignment="1" applyProtection="1">
      <protection hidden="1"/>
    </xf>
    <xf numFmtId="0" fontId="21" fillId="36" borderId="35" xfId="30" applyNumberFormat="1" applyFont="1" applyFill="1" applyBorder="1" applyAlignment="1" applyProtection="1">
      <alignment horizontal="center"/>
      <protection hidden="1"/>
    </xf>
    <xf numFmtId="0" fontId="20" fillId="0" borderId="0" xfId="30" applyNumberFormat="1" applyFont="1" applyFill="1" applyBorder="1" applyAlignment="1" applyProtection="1"/>
    <xf numFmtId="0" fontId="48" fillId="36" borderId="35" xfId="30" applyNumberFormat="1" applyFont="1" applyFill="1" applyBorder="1" applyAlignment="1" applyProtection="1">
      <alignment horizontal="center"/>
      <protection hidden="1"/>
    </xf>
    <xf numFmtId="0" fontId="39" fillId="36" borderId="35" xfId="30" applyNumberFormat="1" applyFont="1" applyFill="1" applyBorder="1" applyAlignment="1" applyProtection="1">
      <alignment horizontal="center" vertical="center" wrapText="1"/>
      <protection hidden="1"/>
    </xf>
    <xf numFmtId="0" fontId="39" fillId="44" borderId="44" xfId="30" applyNumberFormat="1" applyFont="1" applyFill="1" applyBorder="1" applyAlignment="1" applyProtection="1">
      <alignment horizontal="center" vertical="center" wrapText="1"/>
      <protection hidden="1"/>
    </xf>
    <xf numFmtId="0" fontId="3" fillId="36" borderId="35" xfId="30" applyNumberFormat="1" applyFont="1" applyFill="1" applyBorder="1" applyAlignment="1" applyProtection="1">
      <alignment horizontal="left"/>
      <protection hidden="1"/>
    </xf>
    <xf numFmtId="0" fontId="3" fillId="43" borderId="43" xfId="31" applyNumberFormat="1" applyFont="1" applyFill="1" applyBorder="1" applyAlignment="1" applyProtection="1">
      <protection hidden="1"/>
    </xf>
    <xf numFmtId="0" fontId="3" fillId="0" borderId="0" xfId="31" applyNumberFormat="1" applyFont="1" applyFill="1" applyBorder="1" applyAlignment="1" applyProtection="1"/>
    <xf numFmtId="0" fontId="15" fillId="43" borderId="43" xfId="30" applyNumberFormat="1" applyFont="1" applyFill="1" applyBorder="1" applyAlignment="1" applyProtection="1">
      <alignment horizontal="right"/>
      <protection hidden="1"/>
    </xf>
    <xf numFmtId="0" fontId="53" fillId="36" borderId="35" xfId="0" applyNumberFormat="1" applyFont="1" applyFill="1" applyBorder="1" applyAlignment="1" applyProtection="1">
      <alignment horizontal="left" wrapText="1"/>
      <protection hidden="1"/>
    </xf>
    <xf numFmtId="165" fontId="17" fillId="0" borderId="46" xfId="0" applyNumberFormat="1" applyFont="1" applyFill="1" applyBorder="1" applyAlignment="1" applyProtection="1">
      <alignment horizontal="center"/>
      <protection hidden="1"/>
    </xf>
    <xf numFmtId="0" fontId="24" fillId="36" borderId="35" xfId="30" applyNumberFormat="1" applyFont="1" applyFill="1" applyBorder="1" applyAlignment="1" applyProtection="1">
      <alignment horizontal="left"/>
      <protection hidden="1"/>
    </xf>
    <xf numFmtId="165" fontId="17" fillId="0" borderId="46" xfId="30" applyNumberFormat="1" applyFont="1" applyFill="1" applyBorder="1" applyAlignment="1" applyProtection="1">
      <alignment horizontal="center"/>
      <protection hidden="1"/>
    </xf>
    <xf numFmtId="0" fontId="11" fillId="43" borderId="43" xfId="0" applyNumberFormat="1" applyFont="1" applyFill="1" applyBorder="1" applyAlignment="1" applyProtection="1">
      <alignment horizontal="right"/>
      <protection hidden="1"/>
    </xf>
    <xf numFmtId="0" fontId="17" fillId="36" borderId="35" xfId="30" applyNumberFormat="1" applyFont="1" applyFill="1" applyBorder="1" applyAlignment="1" applyProtection="1">
      <protection hidden="1"/>
    </xf>
    <xf numFmtId="2" fontId="17" fillId="0" borderId="48" xfId="0" applyNumberFormat="1" applyFont="1" applyFill="1" applyBorder="1" applyAlignment="1" applyProtection="1">
      <alignment horizontal="center"/>
      <protection hidden="1"/>
    </xf>
    <xf numFmtId="0" fontId="17" fillId="0" borderId="0" xfId="0" applyNumberFormat="1" applyFont="1" applyFill="1" applyBorder="1" applyAlignment="1" applyProtection="1"/>
    <xf numFmtId="2" fontId="17" fillId="0" borderId="49" xfId="0" applyNumberFormat="1" applyFont="1" applyFill="1" applyBorder="1" applyAlignment="1" applyProtection="1">
      <alignment horizontal="center"/>
      <protection hidden="1"/>
    </xf>
    <xf numFmtId="0" fontId="17" fillId="47" borderId="50" xfId="30" applyNumberFormat="1" applyFont="1" applyFill="1" applyBorder="1" applyAlignment="1" applyProtection="1">
      <alignment horizontal="center"/>
      <protection locked="0"/>
    </xf>
    <xf numFmtId="0" fontId="17" fillId="39" borderId="38" xfId="0" applyNumberFormat="1" applyFont="1" applyFill="1" applyBorder="1" applyAlignment="1" applyProtection="1">
      <alignment horizontal="center"/>
      <protection locked="0"/>
    </xf>
    <xf numFmtId="0" fontId="20" fillId="4" borderId="3" xfId="30" applyNumberFormat="1" applyFont="1" applyFill="1" applyBorder="1" applyAlignment="1" applyProtection="1">
      <protection locked="0"/>
    </xf>
    <xf numFmtId="0" fontId="20" fillId="4" borderId="3" xfId="30" applyNumberFormat="1" applyFont="1" applyFill="1" applyBorder="1" applyAlignment="1" applyProtection="1">
      <alignment horizontal="right"/>
      <protection locked="0"/>
    </xf>
    <xf numFmtId="0" fontId="45" fillId="0" borderId="0" xfId="30" applyNumberFormat="1" applyFont="1" applyFill="1" applyBorder="1" applyAlignment="1" applyProtection="1">
      <protection hidden="1"/>
    </xf>
    <xf numFmtId="0" fontId="20" fillId="0" borderId="0" xfId="30" applyNumberFormat="1" applyFont="1" applyFill="1" applyBorder="1" applyAlignment="1" applyProtection="1">
      <protection hidden="1"/>
    </xf>
    <xf numFmtId="0" fontId="24" fillId="36" borderId="35" xfId="30" applyNumberFormat="1" applyFont="1" applyFill="1" applyBorder="1" applyAlignment="1" applyProtection="1">
      <protection hidden="1"/>
    </xf>
    <xf numFmtId="0" fontId="12" fillId="36" borderId="35" xfId="30" applyNumberFormat="1" applyFont="1" applyFill="1" applyBorder="1" applyAlignment="1" applyProtection="1">
      <protection hidden="1"/>
    </xf>
    <xf numFmtId="0" fontId="3" fillId="36" borderId="35" xfId="23" applyNumberFormat="1" applyFont="1" applyFill="1" applyBorder="1" applyAlignment="1" applyProtection="1">
      <protection hidden="1"/>
    </xf>
    <xf numFmtId="0" fontId="17" fillId="45" borderId="45" xfId="29" applyNumberFormat="1" applyFont="1" applyFill="1" applyBorder="1" applyAlignment="1" applyProtection="1">
      <alignment horizontal="center" wrapText="1"/>
      <protection locked="0"/>
    </xf>
    <xf numFmtId="165" fontId="17" fillId="50" borderId="53" xfId="0" applyNumberFormat="1" applyFont="1" applyFill="1" applyBorder="1" applyAlignment="1" applyProtection="1">
      <alignment horizontal="center"/>
      <protection hidden="1"/>
    </xf>
    <xf numFmtId="0" fontId="21" fillId="36" borderId="35" xfId="30" applyNumberFormat="1" applyFont="1" applyFill="1" applyBorder="1" applyAlignment="1" applyProtection="1">
      <alignment horizontal="center"/>
      <protection hidden="1"/>
    </xf>
    <xf numFmtId="0" fontId="17" fillId="37" borderId="36" xfId="30" applyNumberFormat="1" applyFont="1" applyFill="1" applyBorder="1" applyAlignment="1" applyProtection="1">
      <alignment horizontal="center"/>
      <protection hidden="1"/>
    </xf>
    <xf numFmtId="0" fontId="17" fillId="42" borderId="42" xfId="30" applyNumberFormat="1" applyFont="1" applyFill="1" applyBorder="1" applyAlignment="1" applyProtection="1">
      <alignment vertical="top"/>
      <protection hidden="1"/>
    </xf>
    <xf numFmtId="0" fontId="17" fillId="41" borderId="41" xfId="30" applyNumberFormat="1" applyFont="1" applyFill="1" applyBorder="1" applyAlignment="1" applyProtection="1">
      <alignment vertical="top"/>
      <protection hidden="1"/>
    </xf>
    <xf numFmtId="0" fontId="20" fillId="0" borderId="0" xfId="30" applyNumberFormat="1" applyFont="1" applyFill="1" applyBorder="1" applyAlignment="1" applyProtection="1">
      <alignment horizontal="center"/>
      <protection locked="0"/>
    </xf>
    <xf numFmtId="0" fontId="11" fillId="43" borderId="43" xfId="31" applyNumberFormat="1" applyFont="1" applyFill="1" applyBorder="1" applyAlignment="1" applyProtection="1">
      <protection hidden="1"/>
    </xf>
    <xf numFmtId="0" fontId="46" fillId="0" borderId="0" xfId="30" applyNumberFormat="1" applyFont="1" applyFill="1" applyBorder="1" applyAlignment="1" applyProtection="1">
      <alignment horizontal="center" wrapText="1"/>
      <protection hidden="1"/>
    </xf>
    <xf numFmtId="0" fontId="52" fillId="36" borderId="35" xfId="18" applyNumberFormat="1" applyFont="1" applyFill="1" applyBorder="1" applyAlignment="1" applyProtection="1">
      <alignment horizontal="left"/>
      <protection hidden="1"/>
    </xf>
    <xf numFmtId="166" fontId="7" fillId="0" borderId="54" xfId="30" applyNumberFormat="1" applyFont="1" applyFill="1" applyBorder="1" applyAlignment="1" applyProtection="1">
      <alignment horizontal="center"/>
      <protection hidden="1"/>
    </xf>
    <xf numFmtId="0" fontId="12" fillId="36" borderId="35" xfId="30" applyNumberFormat="1" applyFont="1" applyFill="1" applyBorder="1" applyAlignment="1" applyProtection="1">
      <alignment horizontal="center"/>
      <protection hidden="1"/>
    </xf>
    <xf numFmtId="2" fontId="3" fillId="0" borderId="0" xfId="0" applyNumberFormat="1" applyFont="1" applyFill="1" applyBorder="1" applyAlignment="1" applyProtection="1"/>
    <xf numFmtId="0" fontId="17" fillId="4" borderId="3" xfId="30" applyNumberFormat="1" applyFont="1" applyFill="1" applyBorder="1" applyAlignment="1" applyProtection="1">
      <protection hidden="1"/>
    </xf>
    <xf numFmtId="0" fontId="17" fillId="36" borderId="35" xfId="0" applyNumberFormat="1" applyFont="1" applyFill="1" applyBorder="1" applyAlignment="1" applyProtection="1">
      <alignment wrapText="1"/>
      <protection hidden="1"/>
    </xf>
    <xf numFmtId="0" fontId="17" fillId="6" borderId="5" xfId="30" applyNumberFormat="1" applyFont="1" applyFill="1" applyBorder="1" applyAlignment="1" applyProtection="1">
      <alignment horizontal="left"/>
      <protection hidden="1"/>
    </xf>
    <xf numFmtId="0" fontId="45" fillId="0" borderId="0" xfId="30" applyNumberFormat="1" applyFont="1" applyFill="1" applyBorder="1" applyAlignment="1" applyProtection="1">
      <protection locked="0"/>
    </xf>
    <xf numFmtId="0" fontId="45" fillId="0" borderId="0" xfId="0" applyNumberFormat="1" applyFont="1" applyFill="1" applyBorder="1" applyAlignment="1" applyProtection="1">
      <protection locked="0"/>
    </xf>
    <xf numFmtId="0" fontId="20" fillId="0" borderId="0" xfId="30" applyNumberFormat="1" applyFont="1" applyFill="1" applyBorder="1" applyAlignment="1" applyProtection="1">
      <alignment horizontal="right"/>
      <protection hidden="1"/>
    </xf>
    <xf numFmtId="0" fontId="17" fillId="0" borderId="0" xfId="0" applyNumberFormat="1" applyFont="1" applyFill="1" applyBorder="1" applyAlignment="1" applyProtection="1">
      <protection hidden="1"/>
    </xf>
    <xf numFmtId="0" fontId="57" fillId="36" borderId="35" xfId="30" applyNumberFormat="1" applyFont="1" applyFill="1" applyBorder="1" applyAlignment="1" applyProtection="1">
      <alignment horizontal="left" wrapText="1"/>
      <protection hidden="1"/>
    </xf>
    <xf numFmtId="0" fontId="20" fillId="51" borderId="55" xfId="30" applyNumberFormat="1" applyFont="1" applyFill="1" applyBorder="1" applyAlignment="1" applyProtection="1">
      <alignment horizontal="center"/>
      <protection hidden="1"/>
    </xf>
    <xf numFmtId="1" fontId="20" fillId="51" borderId="55" xfId="30" applyNumberFormat="1" applyFont="1" applyFill="1" applyBorder="1" applyAlignment="1" applyProtection="1">
      <alignment horizontal="center"/>
      <protection hidden="1"/>
    </xf>
    <xf numFmtId="165" fontId="20" fillId="51" borderId="55" xfId="30" applyNumberFormat="1" applyFont="1" applyFill="1" applyBorder="1" applyAlignment="1" applyProtection="1">
      <alignment horizontal="center"/>
      <protection hidden="1"/>
    </xf>
    <xf numFmtId="0" fontId="20" fillId="52" borderId="56" xfId="30" applyNumberFormat="1" applyFont="1" applyFill="1" applyBorder="1" applyAlignment="1" applyProtection="1">
      <alignment horizontal="center"/>
      <protection hidden="1"/>
    </xf>
    <xf numFmtId="165" fontId="20" fillId="53" borderId="57" xfId="30" applyNumberFormat="1" applyFont="1" applyFill="1" applyBorder="1" applyAlignment="1" applyProtection="1">
      <alignment horizontal="center"/>
      <protection hidden="1"/>
    </xf>
    <xf numFmtId="2" fontId="20" fillId="53" borderId="57" xfId="30" applyNumberFormat="1" applyFont="1" applyFill="1" applyBorder="1" applyAlignment="1" applyProtection="1">
      <alignment horizontal="center"/>
      <protection hidden="1"/>
    </xf>
    <xf numFmtId="2" fontId="45" fillId="36" borderId="35" xfId="30" applyNumberFormat="1" applyFont="1" applyFill="1" applyBorder="1" applyAlignment="1" applyProtection="1">
      <alignment horizontal="center"/>
      <protection hidden="1"/>
    </xf>
    <xf numFmtId="0" fontId="57" fillId="36" borderId="35" xfId="30" applyNumberFormat="1" applyFont="1" applyFill="1" applyBorder="1" applyAlignment="1" applyProtection="1">
      <alignment horizontal="center" wrapText="1"/>
      <protection hidden="1"/>
    </xf>
    <xf numFmtId="0" fontId="72" fillId="36" borderId="35" xfId="30" applyNumberFormat="1" applyFont="1" applyFill="1" applyBorder="1" applyAlignment="1" applyProtection="1">
      <alignment horizontal="center" wrapText="1"/>
      <protection hidden="1"/>
    </xf>
    <xf numFmtId="0" fontId="21" fillId="36" borderId="35" xfId="30" applyNumberFormat="1" applyFont="1" applyFill="1" applyBorder="1" applyAlignment="1" applyProtection="1">
      <alignment horizontal="right"/>
      <protection hidden="1"/>
    </xf>
    <xf numFmtId="2" fontId="45" fillId="36" borderId="35" xfId="30" applyNumberFormat="1" applyFont="1" applyFill="1" applyBorder="1" applyAlignment="1" applyProtection="1">
      <alignment horizontal="center" vertical="top"/>
      <protection hidden="1"/>
    </xf>
    <xf numFmtId="0" fontId="17" fillId="19" borderId="18" xfId="30" applyNumberFormat="1" applyFont="1" applyFill="1" applyBorder="1" applyAlignment="1" applyProtection="1">
      <alignment horizontal="right"/>
      <protection locked="0"/>
    </xf>
    <xf numFmtId="2" fontId="17" fillId="42" borderId="42" xfId="30" applyNumberFormat="1" applyFont="1" applyFill="1" applyBorder="1" applyAlignment="1" applyProtection="1">
      <alignment horizontal="center"/>
      <protection hidden="1"/>
    </xf>
    <xf numFmtId="0" fontId="17" fillId="42" borderId="42" xfId="30" applyNumberFormat="1" applyFont="1" applyFill="1" applyBorder="1" applyAlignment="1" applyProtection="1">
      <alignment horizontal="center"/>
      <protection hidden="1"/>
    </xf>
    <xf numFmtId="2" fontId="17" fillId="37" borderId="36" xfId="30" applyNumberFormat="1" applyFont="1" applyFill="1" applyBorder="1" applyAlignment="1" applyProtection="1">
      <alignment horizontal="center"/>
      <protection hidden="1"/>
    </xf>
    <xf numFmtId="166" fontId="17" fillId="37" borderId="36" xfId="30" applyNumberFormat="1" applyFont="1" applyFill="1" applyBorder="1" applyAlignment="1" applyProtection="1">
      <alignment horizontal="center"/>
      <protection hidden="1"/>
    </xf>
    <xf numFmtId="0" fontId="17" fillId="50" borderId="53" xfId="22" applyNumberFormat="1" applyFont="1" applyFill="1" applyBorder="1" applyAlignment="1" applyProtection="1">
      <alignment horizontal="center"/>
      <protection hidden="1"/>
    </xf>
    <xf numFmtId="0" fontId="17" fillId="41" borderId="41" xfId="22" applyNumberFormat="1" applyFont="1" applyFill="1" applyBorder="1" applyAlignment="1" applyProtection="1">
      <alignment horizontal="center"/>
      <protection hidden="1"/>
    </xf>
    <xf numFmtId="0" fontId="17" fillId="54" borderId="58" xfId="30" applyNumberFormat="1" applyFont="1" applyFill="1" applyBorder="1" applyAlignment="1" applyProtection="1">
      <alignment horizontal="center"/>
      <protection hidden="1"/>
    </xf>
    <xf numFmtId="0" fontId="17" fillId="38" borderId="37" xfId="30" applyNumberFormat="1" applyFont="1" applyFill="1" applyBorder="1" applyAlignment="1" applyProtection="1">
      <alignment horizontal="center"/>
      <protection hidden="1"/>
    </xf>
    <xf numFmtId="0" fontId="17" fillId="55" borderId="59" xfId="30" applyNumberFormat="1" applyFont="1" applyFill="1" applyBorder="1" applyAlignment="1" applyProtection="1">
      <alignment horizontal="center"/>
      <protection hidden="1"/>
    </xf>
    <xf numFmtId="0" fontId="17" fillId="45" borderId="45" xfId="22" applyNumberFormat="1" applyFont="1" applyFill="1" applyBorder="1" applyAlignment="1" applyProtection="1">
      <alignment horizontal="center"/>
      <protection locked="0"/>
    </xf>
    <xf numFmtId="1" fontId="17" fillId="0" borderId="49" xfId="21" applyNumberFormat="1" applyFont="1" applyFill="1" applyBorder="1" applyAlignment="1" applyProtection="1">
      <alignment horizontal="center"/>
      <protection hidden="1"/>
    </xf>
    <xf numFmtId="1" fontId="17" fillId="42" borderId="42" xfId="30" applyNumberFormat="1" applyFont="1" applyFill="1" applyBorder="1" applyAlignment="1" applyProtection="1">
      <alignment horizontal="center"/>
      <protection hidden="1"/>
    </xf>
    <xf numFmtId="166" fontId="17" fillId="0" borderId="54" xfId="30" applyNumberFormat="1" applyFont="1" applyFill="1" applyBorder="1" applyAlignment="1" applyProtection="1">
      <alignment horizontal="center"/>
      <protection hidden="1"/>
    </xf>
    <xf numFmtId="165" fontId="20" fillId="0" borderId="0" xfId="30" applyNumberFormat="1" applyFont="1" applyFill="1" applyBorder="1" applyAlignment="1" applyProtection="1">
      <protection hidden="1"/>
    </xf>
    <xf numFmtId="0" fontId="20" fillId="0" borderId="0" xfId="30" applyNumberFormat="1" applyFont="1" applyFill="1" applyBorder="1" applyAlignment="1" applyProtection="1">
      <protection hidden="1"/>
    </xf>
    <xf numFmtId="0" fontId="20" fillId="0" borderId="0" xfId="30" applyNumberFormat="1" applyFont="1" applyFill="1" applyBorder="1" applyAlignment="1" applyProtection="1"/>
    <xf numFmtId="0" fontId="17" fillId="0" borderId="0" xfId="0" applyNumberFormat="1" applyFont="1" applyFill="1" applyBorder="1" applyAlignment="1" applyProtection="1"/>
    <xf numFmtId="166" fontId="20" fillId="0" borderId="0" xfId="30" applyNumberFormat="1" applyFont="1" applyFill="1" applyBorder="1" applyAlignment="1" applyProtection="1">
      <protection hidden="1"/>
    </xf>
    <xf numFmtId="2" fontId="20" fillId="0" borderId="0" xfId="30" applyNumberFormat="1" applyFont="1" applyFill="1" applyBorder="1" applyAlignment="1" applyProtection="1">
      <protection hidden="1"/>
    </xf>
    <xf numFmtId="165" fontId="17" fillId="58" borderId="62" xfId="30" applyNumberFormat="1" applyFont="1" applyFill="1" applyBorder="1" applyAlignment="1" applyProtection="1">
      <protection hidden="1"/>
    </xf>
    <xf numFmtId="0" fontId="17" fillId="14" borderId="13" xfId="30" applyNumberFormat="1" applyFont="1" applyFill="1" applyBorder="1" applyAlignment="1" applyProtection="1">
      <protection hidden="1"/>
    </xf>
    <xf numFmtId="166" fontId="56" fillId="0" borderId="0" xfId="0" applyNumberFormat="1" applyFont="1" applyFill="1" applyBorder="1" applyAlignment="1" applyProtection="1">
      <protection hidden="1"/>
    </xf>
    <xf numFmtId="0" fontId="31" fillId="36" borderId="35" xfId="0" applyNumberFormat="1" applyFont="1" applyFill="1" applyBorder="1" applyAlignment="1" applyProtection="1">
      <alignment horizontal="left" wrapText="1"/>
      <protection hidden="1"/>
    </xf>
    <xf numFmtId="0" fontId="8" fillId="36" borderId="35" xfId="30" applyNumberFormat="1" applyFont="1" applyFill="1" applyBorder="1" applyAlignment="1" applyProtection="1">
      <alignment horizontal="right"/>
      <protection hidden="1"/>
    </xf>
    <xf numFmtId="0" fontId="74" fillId="36" borderId="35" xfId="16" applyNumberFormat="1" applyFont="1" applyFill="1" applyBorder="1" applyAlignment="1" applyProtection="1">
      <alignment horizontal="center" wrapText="1"/>
      <protection hidden="1"/>
    </xf>
    <xf numFmtId="0" fontId="30" fillId="36" borderId="35" xfId="30" applyNumberFormat="1" applyFont="1" applyFill="1" applyBorder="1" applyAlignment="1" applyProtection="1">
      <protection hidden="1"/>
    </xf>
    <xf numFmtId="0" fontId="14" fillId="36" borderId="35" xfId="30" applyNumberFormat="1" applyFont="1" applyFill="1" applyBorder="1" applyAlignment="1" applyProtection="1">
      <alignment horizontal="right" wrapText="1"/>
      <protection hidden="1"/>
    </xf>
    <xf numFmtId="165" fontId="17" fillId="36" borderId="35" xfId="30" applyNumberFormat="1" applyFont="1" applyFill="1" applyBorder="1" applyAlignment="1" applyProtection="1">
      <alignment horizontal="center"/>
      <protection hidden="1"/>
    </xf>
    <xf numFmtId="0" fontId="17" fillId="0" borderId="0" xfId="0" applyNumberFormat="1" applyFont="1" applyFill="1" applyBorder="1" applyAlignment="1" applyProtection="1">
      <protection locked="0"/>
    </xf>
    <xf numFmtId="0" fontId="10" fillId="36" borderId="35" xfId="30" applyNumberFormat="1" applyFont="1" applyFill="1" applyBorder="1" applyAlignment="1" applyProtection="1">
      <protection hidden="1"/>
    </xf>
    <xf numFmtId="0" fontId="54" fillId="36" borderId="35" xfId="31" applyNumberFormat="1" applyFont="1" applyFill="1" applyBorder="1" applyAlignment="1" applyProtection="1">
      <alignment horizontal="left" vertical="center" textRotation="90"/>
      <protection hidden="1"/>
    </xf>
    <xf numFmtId="165" fontId="17" fillId="0" borderId="66" xfId="30" applyNumberFormat="1" applyFont="1" applyFill="1" applyBorder="1" applyAlignment="1" applyProtection="1">
      <alignment horizontal="center"/>
      <protection hidden="1"/>
    </xf>
    <xf numFmtId="0" fontId="17" fillId="0" borderId="48" xfId="30" applyNumberFormat="1" applyFont="1" applyFill="1" applyBorder="1" applyAlignment="1" applyProtection="1">
      <alignment horizontal="center"/>
      <protection hidden="1"/>
    </xf>
    <xf numFmtId="0" fontId="25" fillId="36" borderId="35" xfId="29" applyNumberFormat="1" applyFont="1" applyFill="1" applyBorder="1" applyAlignment="1" applyProtection="1">
      <alignment horizontal="left"/>
      <protection hidden="1"/>
    </xf>
    <xf numFmtId="0" fontId="17" fillId="62" borderId="67" xfId="0" applyNumberFormat="1" applyFont="1" applyFill="1" applyBorder="1" applyAlignment="1" applyProtection="1">
      <alignment horizontal="center" wrapText="1"/>
      <protection hidden="1"/>
    </xf>
    <xf numFmtId="0" fontId="29" fillId="63" borderId="68" xfId="0" applyNumberFormat="1" applyFont="1" applyFill="1" applyBorder="1" applyAlignment="1" applyProtection="1">
      <alignment horizontal="center" wrapText="1"/>
      <protection hidden="1"/>
    </xf>
    <xf numFmtId="0" fontId="17" fillId="64" borderId="69" xfId="0" applyNumberFormat="1" applyFont="1" applyFill="1" applyBorder="1" applyAlignment="1" applyProtection="1">
      <alignment horizontal="center" wrapText="1"/>
      <protection hidden="1"/>
    </xf>
    <xf numFmtId="0" fontId="47" fillId="65" borderId="70" xfId="0" applyNumberFormat="1" applyFont="1" applyFill="1" applyBorder="1" applyAlignment="1" applyProtection="1">
      <alignment horizontal="center" wrapText="1"/>
      <protection hidden="1"/>
    </xf>
    <xf numFmtId="0" fontId="47" fillId="66" borderId="71" xfId="0" applyNumberFormat="1" applyFont="1" applyFill="1" applyBorder="1" applyAlignment="1" applyProtection="1">
      <alignment horizontal="center" wrapText="1"/>
      <protection hidden="1"/>
    </xf>
    <xf numFmtId="0" fontId="17" fillId="0" borderId="0" xfId="30" applyNumberFormat="1" applyFont="1" applyFill="1" applyBorder="1" applyAlignment="1" applyProtection="1">
      <alignment horizontal="center"/>
      <protection hidden="1"/>
    </xf>
    <xf numFmtId="0" fontId="17" fillId="0" borderId="0" xfId="30" applyNumberFormat="1" applyFont="1" applyFill="1" applyBorder="1" applyAlignment="1" applyProtection="1">
      <protection hidden="1"/>
    </xf>
    <xf numFmtId="2" fontId="17" fillId="0" borderId="0" xfId="30" applyNumberFormat="1" applyFont="1" applyFill="1" applyBorder="1" applyAlignment="1" applyProtection="1">
      <protection hidden="1"/>
    </xf>
    <xf numFmtId="2" fontId="21" fillId="0" borderId="0" xfId="30" applyNumberFormat="1" applyFont="1" applyFill="1" applyBorder="1" applyAlignment="1" applyProtection="1">
      <protection hidden="1"/>
    </xf>
    <xf numFmtId="0" fontId="21" fillId="0" borderId="0" xfId="30" applyNumberFormat="1" applyFont="1" applyFill="1" applyBorder="1" applyAlignment="1" applyProtection="1">
      <alignment horizontal="center"/>
      <protection hidden="1"/>
    </xf>
    <xf numFmtId="0" fontId="7" fillId="36" borderId="35" xfId="23" applyNumberFormat="1" applyFont="1" applyFill="1" applyBorder="1" applyAlignment="1" applyProtection="1">
      <alignment horizontal="left"/>
      <protection hidden="1"/>
    </xf>
    <xf numFmtId="2" fontId="21" fillId="36" borderId="35" xfId="30" applyNumberFormat="1" applyFont="1" applyFill="1" applyBorder="1" applyAlignment="1" applyProtection="1">
      <alignment horizontal="left" vertical="top" wrapText="1"/>
      <protection hidden="1"/>
    </xf>
    <xf numFmtId="0" fontId="18" fillId="36" borderId="35" xfId="0" applyNumberFormat="1" applyFont="1" applyFill="1" applyBorder="1" applyAlignment="1" applyProtection="1">
      <protection hidden="1"/>
    </xf>
    <xf numFmtId="49" fontId="17" fillId="46" borderId="47" xfId="30" applyNumberFormat="1" applyFont="1" applyFill="1" applyBorder="1" applyAlignment="1" applyProtection="1">
      <alignment horizontal="center"/>
      <protection locked="0"/>
    </xf>
    <xf numFmtId="0" fontId="21" fillId="0" borderId="0" xfId="30" applyNumberFormat="1" applyFont="1" applyFill="1" applyBorder="1" applyAlignment="1" applyProtection="1">
      <alignment horizontal="right"/>
      <protection hidden="1"/>
    </xf>
    <xf numFmtId="2" fontId="3" fillId="36" borderId="35" xfId="0" applyNumberFormat="1" applyFont="1" applyFill="1" applyBorder="1" applyAlignment="1" applyProtection="1">
      <protection hidden="1"/>
    </xf>
    <xf numFmtId="2" fontId="20" fillId="36" borderId="35" xfId="30" applyNumberFormat="1" applyFont="1" applyFill="1" applyBorder="1" applyAlignment="1" applyProtection="1">
      <protection hidden="1"/>
    </xf>
    <xf numFmtId="0" fontId="60" fillId="43" borderId="43" xfId="30" applyNumberFormat="1" applyFont="1" applyFill="1" applyBorder="1" applyAlignment="1" applyProtection="1">
      <alignment wrapText="1"/>
      <protection hidden="1"/>
    </xf>
    <xf numFmtId="2" fontId="17" fillId="0" borderId="72" xfId="30" applyNumberFormat="1" applyFont="1" applyFill="1" applyBorder="1" applyAlignment="1" applyProtection="1">
      <alignment horizontal="center"/>
      <protection hidden="1"/>
    </xf>
    <xf numFmtId="2" fontId="17" fillId="0" borderId="49" xfId="30" applyNumberFormat="1" applyFont="1" applyFill="1" applyBorder="1" applyAlignment="1" applyProtection="1">
      <alignment horizontal="center"/>
      <protection hidden="1"/>
    </xf>
    <xf numFmtId="2" fontId="17" fillId="0" borderId="73" xfId="30" applyNumberFormat="1" applyFont="1" applyFill="1" applyBorder="1" applyAlignment="1" applyProtection="1">
      <alignment horizontal="center"/>
      <protection hidden="1"/>
    </xf>
    <xf numFmtId="2" fontId="7" fillId="0" borderId="73" xfId="30" applyNumberFormat="1" applyFont="1" applyFill="1" applyBorder="1" applyAlignment="1" applyProtection="1">
      <alignment horizontal="center"/>
      <protection hidden="1"/>
    </xf>
    <xf numFmtId="165" fontId="73" fillId="42" borderId="42" xfId="30" applyNumberFormat="1" applyFont="1" applyFill="1" applyBorder="1" applyAlignment="1" applyProtection="1">
      <alignment horizontal="center"/>
      <protection hidden="1"/>
    </xf>
    <xf numFmtId="1" fontId="73" fillId="45" borderId="45" xfId="30" applyNumberFormat="1" applyFont="1" applyFill="1" applyBorder="1" applyAlignment="1" applyProtection="1">
      <alignment horizontal="center"/>
      <protection locked="0"/>
    </xf>
    <xf numFmtId="169" fontId="17" fillId="41" borderId="41" xfId="29" applyNumberFormat="1" applyFont="1" applyFill="1" applyBorder="1" applyAlignment="1" applyProtection="1">
      <alignment horizontal="center" vertical="center" wrapText="1"/>
      <protection hidden="1"/>
    </xf>
    <xf numFmtId="2" fontId="21" fillId="36" borderId="35" xfId="30" applyNumberFormat="1" applyFont="1" applyFill="1" applyBorder="1" applyAlignment="1" applyProtection="1">
      <alignment horizontal="right"/>
      <protection hidden="1"/>
    </xf>
    <xf numFmtId="0" fontId="21" fillId="36" borderId="35" xfId="30" applyNumberFormat="1" applyFont="1" applyFill="1" applyBorder="1" applyAlignment="1" applyProtection="1">
      <protection hidden="1"/>
    </xf>
    <xf numFmtId="2" fontId="21" fillId="36" borderId="35" xfId="30" applyNumberFormat="1" applyFont="1" applyFill="1" applyBorder="1" applyAlignment="1" applyProtection="1">
      <alignment horizontal="left"/>
      <protection hidden="1"/>
    </xf>
    <xf numFmtId="165" fontId="17" fillId="67" borderId="74" xfId="0" applyNumberFormat="1" applyFont="1" applyFill="1" applyBorder="1" applyAlignment="1" applyProtection="1">
      <alignment horizontal="center"/>
      <protection hidden="1"/>
    </xf>
    <xf numFmtId="0" fontId="21" fillId="44" borderId="44" xfId="0" applyNumberFormat="1" applyFont="1" applyFill="1" applyBorder="1" applyAlignment="1" applyProtection="1">
      <alignment horizontal="center"/>
      <protection hidden="1"/>
    </xf>
    <xf numFmtId="0" fontId="17" fillId="68" borderId="75" xfId="30" applyNumberFormat="1" applyFont="1" applyFill="1" applyBorder="1" applyAlignment="1" applyProtection="1">
      <alignment horizontal="center"/>
      <protection hidden="1"/>
    </xf>
    <xf numFmtId="0" fontId="17" fillId="69" borderId="76" xfId="30" applyNumberFormat="1" applyFont="1" applyFill="1" applyBorder="1" applyAlignment="1" applyProtection="1">
      <alignment horizontal="center"/>
      <protection hidden="1"/>
    </xf>
    <xf numFmtId="0" fontId="21" fillId="40" borderId="40" xfId="30" applyNumberFormat="1" applyFont="1" applyFill="1" applyBorder="1" applyAlignment="1" applyProtection="1">
      <alignment horizontal="center"/>
      <protection hidden="1"/>
    </xf>
    <xf numFmtId="166" fontId="17" fillId="36" borderId="35" xfId="30" applyNumberFormat="1" applyFont="1" applyFill="1" applyBorder="1" applyAlignment="1" applyProtection="1">
      <protection hidden="1"/>
    </xf>
    <xf numFmtId="1" fontId="17" fillId="36" borderId="35" xfId="30" applyNumberFormat="1" applyFont="1" applyFill="1" applyBorder="1" applyAlignment="1" applyProtection="1">
      <protection hidden="1"/>
    </xf>
    <xf numFmtId="2" fontId="17" fillId="36" borderId="35" xfId="23" applyNumberFormat="1" applyFont="1" applyFill="1" applyBorder="1" applyAlignment="1" applyProtection="1">
      <protection hidden="1"/>
    </xf>
    <xf numFmtId="0" fontId="17" fillId="70" borderId="77" xfId="30" applyNumberFormat="1" applyFont="1" applyFill="1" applyBorder="1" applyAlignment="1" applyProtection="1">
      <alignment horizontal="center"/>
      <protection locked="0"/>
    </xf>
    <xf numFmtId="0" fontId="17" fillId="71" borderId="78" xfId="30" applyNumberFormat="1" applyFont="1" applyFill="1" applyBorder="1" applyAlignment="1" applyProtection="1">
      <alignment horizontal="center"/>
      <protection locked="0"/>
    </xf>
    <xf numFmtId="9" fontId="20" fillId="0" borderId="0" xfId="30" applyNumberFormat="1" applyFont="1" applyFill="1" applyBorder="1" applyAlignment="1" applyProtection="1">
      <protection hidden="1"/>
    </xf>
    <xf numFmtId="0" fontId="17" fillId="47" borderId="50" xfId="29" applyNumberFormat="1" applyFont="1" applyFill="1" applyBorder="1" applyAlignment="1" applyProtection="1">
      <alignment horizontal="right" wrapText="1"/>
      <protection locked="0"/>
    </xf>
    <xf numFmtId="9" fontId="17" fillId="72" borderId="79" xfId="30" applyNumberFormat="1" applyFont="1" applyFill="1" applyBorder="1" applyAlignment="1" applyProtection="1">
      <alignment horizontal="center"/>
      <protection locked="0"/>
    </xf>
    <xf numFmtId="9" fontId="17" fillId="19" borderId="18" xfId="30" applyNumberFormat="1" applyFont="1" applyFill="1" applyBorder="1" applyAlignment="1" applyProtection="1">
      <alignment horizontal="center"/>
      <protection locked="0"/>
    </xf>
    <xf numFmtId="9" fontId="17" fillId="73" borderId="80" xfId="30" applyNumberFormat="1" applyFont="1" applyFill="1" applyBorder="1" applyAlignment="1" applyProtection="1">
      <alignment horizontal="center"/>
      <protection locked="0"/>
    </xf>
    <xf numFmtId="0" fontId="17" fillId="45" borderId="45" xfId="30" applyNumberFormat="1" applyFont="1" applyFill="1" applyBorder="1" applyAlignment="1" applyProtection="1">
      <alignment horizontal="center"/>
      <protection locked="0"/>
    </xf>
    <xf numFmtId="0" fontId="79" fillId="36" borderId="35" xfId="30" applyNumberFormat="1" applyFont="1" applyFill="1" applyBorder="1" applyAlignment="1" applyProtection="1">
      <protection hidden="1"/>
    </xf>
    <xf numFmtId="0" fontId="23" fillId="0" borderId="46" xfId="30" applyNumberFormat="1" applyFont="1" applyFill="1" applyBorder="1" applyAlignment="1" applyProtection="1">
      <alignment horizontal="center"/>
      <protection hidden="1"/>
    </xf>
    <xf numFmtId="0" fontId="17" fillId="72" borderId="79" xfId="30" applyNumberFormat="1" applyFont="1" applyFill="1" applyBorder="1" applyAlignment="1" applyProtection="1">
      <protection locked="0"/>
    </xf>
    <xf numFmtId="0" fontId="17" fillId="19" borderId="18" xfId="30" applyNumberFormat="1" applyFont="1" applyFill="1" applyBorder="1" applyAlignment="1" applyProtection="1">
      <protection locked="0"/>
    </xf>
    <xf numFmtId="166" fontId="17" fillId="0" borderId="46" xfId="0" applyNumberFormat="1" applyFont="1" applyFill="1" applyBorder="1" applyAlignment="1" applyProtection="1">
      <alignment horizontal="center"/>
      <protection hidden="1"/>
    </xf>
    <xf numFmtId="166" fontId="17" fillId="37" borderId="36" xfId="0" applyNumberFormat="1" applyFont="1" applyFill="1" applyBorder="1" applyAlignment="1" applyProtection="1">
      <alignment horizontal="center"/>
      <protection hidden="1"/>
    </xf>
    <xf numFmtId="0" fontId="17" fillId="0" borderId="48" xfId="28" applyNumberFormat="1" applyFont="1" applyFill="1" applyBorder="1" applyAlignment="1" applyProtection="1">
      <alignment horizontal="center"/>
      <protection hidden="1"/>
    </xf>
    <xf numFmtId="0" fontId="17" fillId="75" borderId="82" xfId="22" applyNumberFormat="1" applyFont="1" applyFill="1" applyBorder="1" applyAlignment="1" applyProtection="1">
      <alignment horizontal="center"/>
      <protection locked="0"/>
    </xf>
    <xf numFmtId="1" fontId="17" fillId="0" borderId="46" xfId="0" applyNumberFormat="1" applyFont="1" applyFill="1" applyBorder="1" applyAlignment="1" applyProtection="1">
      <alignment horizontal="center"/>
      <protection hidden="1"/>
    </xf>
    <xf numFmtId="0" fontId="28" fillId="43" borderId="43" xfId="29" applyNumberFormat="1" applyFont="1" applyFill="1" applyBorder="1" applyAlignment="1" applyProtection="1">
      <alignment horizontal="left"/>
      <protection hidden="1"/>
    </xf>
    <xf numFmtId="0" fontId="17" fillId="76" borderId="83" xfId="0" applyNumberFormat="1" applyFont="1" applyFill="1" applyBorder="1" applyAlignment="1" applyProtection="1">
      <alignment horizontal="center"/>
      <protection hidden="1"/>
    </xf>
    <xf numFmtId="0" fontId="17" fillId="77" borderId="84" xfId="0" applyNumberFormat="1" applyFont="1" applyFill="1" applyBorder="1" applyAlignment="1" applyProtection="1">
      <alignment horizontal="center"/>
      <protection hidden="1"/>
    </xf>
    <xf numFmtId="0" fontId="17" fillId="78" borderId="85" xfId="0" applyNumberFormat="1" applyFont="1" applyFill="1" applyBorder="1" applyAlignment="1" applyProtection="1">
      <alignment horizontal="center"/>
      <protection hidden="1"/>
    </xf>
    <xf numFmtId="0" fontId="17" fillId="79" borderId="86" xfId="0" applyNumberFormat="1" applyFont="1" applyFill="1" applyBorder="1" applyAlignment="1" applyProtection="1">
      <alignment horizontal="center"/>
      <protection locked="0"/>
    </xf>
    <xf numFmtId="0" fontId="17" fillId="80" borderId="87" xfId="0" applyNumberFormat="1" applyFont="1" applyFill="1" applyBorder="1" applyAlignment="1" applyProtection="1">
      <alignment horizontal="center"/>
      <protection locked="0"/>
    </xf>
    <xf numFmtId="0" fontId="17" fillId="81" borderId="88" xfId="0" applyNumberFormat="1" applyFont="1" applyFill="1" applyBorder="1" applyAlignment="1" applyProtection="1">
      <alignment horizontal="center"/>
      <protection locked="0"/>
    </xf>
    <xf numFmtId="165" fontId="17" fillId="82" borderId="89" xfId="0" applyNumberFormat="1" applyFont="1" applyFill="1" applyBorder="1" applyAlignment="1" applyProtection="1">
      <alignment horizontal="center"/>
      <protection hidden="1"/>
    </xf>
    <xf numFmtId="1" fontId="17" fillId="82" borderId="89" xfId="0" applyNumberFormat="1" applyFont="1" applyFill="1" applyBorder="1" applyAlignment="1" applyProtection="1">
      <alignment horizontal="center"/>
      <protection hidden="1"/>
    </xf>
    <xf numFmtId="2" fontId="17" fillId="46" borderId="47" xfId="30" applyNumberFormat="1" applyFont="1" applyFill="1" applyBorder="1" applyAlignment="1" applyProtection="1">
      <alignment horizontal="center"/>
      <protection locked="0"/>
    </xf>
    <xf numFmtId="0" fontId="17" fillId="0" borderId="54" xfId="30" applyNumberFormat="1" applyFont="1" applyFill="1" applyBorder="1" applyAlignment="1" applyProtection="1">
      <protection hidden="1"/>
    </xf>
    <xf numFmtId="0" fontId="17" fillId="62" borderId="67" xfId="30" applyNumberFormat="1" applyFont="1" applyFill="1" applyBorder="1" applyAlignment="1" applyProtection="1">
      <alignment horizontal="right" wrapText="1"/>
      <protection hidden="1"/>
    </xf>
    <xf numFmtId="0" fontId="29" fillId="63" borderId="68" xfId="30" applyNumberFormat="1" applyFont="1" applyFill="1" applyBorder="1" applyAlignment="1" applyProtection="1">
      <alignment horizontal="right" wrapText="1"/>
      <protection hidden="1"/>
    </xf>
    <xf numFmtId="0" fontId="17" fillId="64" borderId="69" xfId="30" applyNumberFormat="1" applyFont="1" applyFill="1" applyBorder="1" applyAlignment="1" applyProtection="1">
      <alignment horizontal="right" wrapText="1"/>
      <protection hidden="1"/>
    </xf>
    <xf numFmtId="0" fontId="47" fillId="66" borderId="71" xfId="30" applyNumberFormat="1" applyFont="1" applyFill="1" applyBorder="1" applyAlignment="1" applyProtection="1">
      <alignment horizontal="right" wrapText="1"/>
      <protection hidden="1"/>
    </xf>
    <xf numFmtId="0" fontId="17" fillId="0" borderId="48" xfId="0" applyNumberFormat="1" applyFont="1" applyFill="1" applyBorder="1" applyAlignment="1" applyProtection="1">
      <alignment horizontal="right"/>
      <protection hidden="1"/>
    </xf>
    <xf numFmtId="0" fontId="24" fillId="0" borderId="0" xfId="0" applyNumberFormat="1" applyFont="1" applyFill="1" applyBorder="1" applyAlignment="1" applyProtection="1">
      <alignment horizontal="right"/>
      <protection hidden="1"/>
    </xf>
    <xf numFmtId="0" fontId="17" fillId="19" borderId="18" xfId="29" applyNumberFormat="1" applyFont="1" applyFill="1" applyBorder="1" applyAlignment="1" applyProtection="1">
      <alignment horizontal="center"/>
      <protection locked="0"/>
    </xf>
    <xf numFmtId="0" fontId="21" fillId="84" borderId="91" xfId="30" applyNumberFormat="1" applyFont="1" applyFill="1" applyBorder="1" applyAlignment="1" applyProtection="1">
      <alignment horizontal="left"/>
      <protection hidden="1"/>
    </xf>
    <xf numFmtId="0" fontId="17" fillId="85" borderId="92" xfId="30" applyNumberFormat="1" applyFont="1" applyFill="1" applyBorder="1" applyAlignment="1" applyProtection="1">
      <alignment horizontal="center"/>
      <protection locked="0"/>
    </xf>
    <xf numFmtId="0" fontId="17" fillId="86" borderId="93" xfId="29" applyNumberFormat="1" applyFont="1" applyFill="1" applyBorder="1" applyAlignment="1" applyProtection="1">
      <alignment horizontal="center" wrapText="1"/>
      <protection locked="0"/>
    </xf>
    <xf numFmtId="0" fontId="3" fillId="43" borderId="43" xfId="0" applyNumberFormat="1" applyFont="1" applyFill="1" applyBorder="1" applyAlignment="1" applyProtection="1">
      <protection hidden="1"/>
    </xf>
    <xf numFmtId="0" fontId="3" fillId="0" borderId="0" xfId="30" applyNumberFormat="1" applyFont="1" applyFill="1" applyBorder="1" applyAlignment="1" applyProtection="1">
      <protection hidden="1"/>
    </xf>
    <xf numFmtId="0" fontId="17" fillId="43" borderId="43" xfId="0" applyNumberFormat="1" applyFont="1" applyFill="1" applyBorder="1" applyAlignment="1" applyProtection="1">
      <alignment horizontal="center"/>
      <protection hidden="1"/>
    </xf>
    <xf numFmtId="0" fontId="17" fillId="57" borderId="61" xfId="0" applyNumberFormat="1" applyFont="1" applyFill="1" applyBorder="1" applyAlignment="1" applyProtection="1">
      <alignment horizontal="center"/>
      <protection locked="0"/>
    </xf>
    <xf numFmtId="0" fontId="27" fillId="36" borderId="35" xfId="30" applyNumberFormat="1" applyFont="1" applyFill="1" applyBorder="1" applyAlignment="1" applyProtection="1">
      <alignment horizontal="right"/>
      <protection hidden="1"/>
    </xf>
    <xf numFmtId="1" fontId="17" fillId="49" borderId="52" xfId="0" applyNumberFormat="1" applyFont="1" applyFill="1" applyBorder="1" applyAlignment="1" applyProtection="1">
      <protection hidden="1"/>
    </xf>
    <xf numFmtId="0" fontId="17" fillId="0" borderId="0" xfId="0" applyNumberFormat="1" applyFont="1" applyFill="1" applyBorder="1" applyAlignment="1" applyProtection="1">
      <alignment horizontal="left"/>
      <protection hidden="1"/>
    </xf>
    <xf numFmtId="0" fontId="27" fillId="36" borderId="35" xfId="29" applyNumberFormat="1" applyFont="1" applyFill="1" applyBorder="1" applyAlignment="1" applyProtection="1">
      <alignment horizontal="left"/>
      <protection hidden="1"/>
    </xf>
    <xf numFmtId="0" fontId="3" fillId="36" borderId="35" xfId="30" applyNumberFormat="1" applyFont="1" applyFill="1" applyBorder="1" applyAlignment="1" applyProtection="1">
      <alignment horizontal="center"/>
      <protection hidden="1"/>
    </xf>
    <xf numFmtId="0" fontId="17" fillId="19" borderId="18" xfId="30" applyNumberFormat="1" applyFont="1" applyFill="1" applyBorder="1" applyAlignment="1" applyProtection="1">
      <alignment horizontal="center" wrapText="1"/>
      <protection locked="0"/>
    </xf>
    <xf numFmtId="0" fontId="45" fillId="89" borderId="96" xfId="24" applyNumberFormat="1" applyFont="1" applyFill="1" applyBorder="1" applyAlignment="1" applyProtection="1">
      <protection hidden="1"/>
    </xf>
    <xf numFmtId="0" fontId="45" fillId="89" borderId="96" xfId="23" applyNumberFormat="1" applyFont="1" applyFill="1" applyBorder="1" applyAlignment="1" applyProtection="1">
      <alignment horizontal="center"/>
      <protection hidden="1"/>
    </xf>
    <xf numFmtId="0" fontId="45" fillId="59" borderId="63" xfId="24" applyNumberFormat="1" applyFont="1" applyFill="1" applyBorder="1" applyAlignment="1" applyProtection="1">
      <protection hidden="1"/>
    </xf>
    <xf numFmtId="0" fontId="45" fillId="88" borderId="95" xfId="30" applyNumberFormat="1" applyFont="1" applyFill="1" applyBorder="1" applyAlignment="1" applyProtection="1">
      <alignment horizontal="left"/>
      <protection hidden="1"/>
    </xf>
    <xf numFmtId="0" fontId="45" fillId="59" borderId="63" xfId="30" applyNumberFormat="1" applyFont="1" applyFill="1" applyBorder="1" applyAlignment="1" applyProtection="1">
      <alignment horizontal="left"/>
      <protection hidden="1"/>
    </xf>
    <xf numFmtId="0" fontId="17" fillId="48" borderId="51" xfId="30" applyNumberFormat="1" applyFont="1" applyFill="1" applyBorder="1" applyAlignment="1" applyProtection="1">
      <alignment horizontal="center"/>
      <protection locked="0"/>
    </xf>
    <xf numFmtId="0" fontId="17" fillId="39" borderId="38" xfId="30" applyNumberFormat="1" applyFont="1" applyFill="1" applyBorder="1" applyAlignment="1" applyProtection="1">
      <alignment horizontal="center"/>
      <protection locked="0"/>
    </xf>
    <xf numFmtId="0" fontId="17" fillId="41" borderId="41" xfId="0" applyNumberFormat="1" applyFont="1" applyFill="1" applyBorder="1" applyAlignment="1" applyProtection="1">
      <alignment horizontal="center"/>
      <protection hidden="1"/>
    </xf>
    <xf numFmtId="0" fontId="17" fillId="74" borderId="81" xfId="0" applyNumberFormat="1" applyFont="1" applyFill="1" applyBorder="1" applyAlignment="1" applyProtection="1">
      <alignment horizontal="center"/>
      <protection hidden="1"/>
    </xf>
    <xf numFmtId="165" fontId="17" fillId="42" borderId="42" xfId="0" applyNumberFormat="1" applyFont="1" applyFill="1" applyBorder="1" applyAlignment="1" applyProtection="1">
      <alignment horizontal="center"/>
      <protection hidden="1"/>
    </xf>
    <xf numFmtId="0" fontId="23" fillId="46" borderId="47" xfId="0" applyNumberFormat="1" applyFont="1" applyFill="1" applyBorder="1" applyAlignment="1" applyProtection="1">
      <alignment horizontal="center"/>
      <protection locked="0"/>
    </xf>
    <xf numFmtId="0" fontId="24" fillId="36" borderId="35" xfId="0" applyNumberFormat="1" applyFont="1" applyFill="1" applyBorder="1" applyAlignment="1" applyProtection="1">
      <alignment horizontal="right"/>
      <protection hidden="1"/>
    </xf>
    <xf numFmtId="165" fontId="17" fillId="67" borderId="74" xfId="30" applyNumberFormat="1" applyFont="1" applyFill="1" applyBorder="1" applyAlignment="1" applyProtection="1">
      <protection hidden="1"/>
    </xf>
    <xf numFmtId="0" fontId="82" fillId="37" borderId="36" xfId="30" applyNumberFormat="1" applyFont="1" applyFill="1" applyBorder="1" applyAlignment="1" applyProtection="1">
      <alignment horizontal="center"/>
      <protection hidden="1"/>
    </xf>
    <xf numFmtId="2" fontId="82" fillId="37" borderId="36" xfId="30" applyNumberFormat="1" applyFont="1" applyFill="1" applyBorder="1" applyAlignment="1" applyProtection="1">
      <alignment horizontal="center"/>
      <protection hidden="1"/>
    </xf>
    <xf numFmtId="49" fontId="82" fillId="46" borderId="47" xfId="30" applyNumberFormat="1" applyFont="1" applyFill="1" applyBorder="1" applyAlignment="1" applyProtection="1">
      <alignment horizontal="center"/>
      <protection locked="0"/>
    </xf>
    <xf numFmtId="0" fontId="3" fillId="0" borderId="0" xfId="0" applyNumberFormat="1" applyFont="1" applyFill="1" applyBorder="1" applyAlignment="1" applyProtection="1">
      <protection hidden="1"/>
    </xf>
    <xf numFmtId="0" fontId="11" fillId="43" borderId="43" xfId="0" applyNumberFormat="1" applyFont="1" applyFill="1" applyBorder="1" applyAlignment="1" applyProtection="1">
      <alignment horizontal="left"/>
      <protection hidden="1"/>
    </xf>
    <xf numFmtId="0" fontId="13" fillId="0" borderId="0" xfId="30" applyNumberFormat="1" applyFont="1" applyFill="1" applyBorder="1" applyAlignment="1" applyProtection="1">
      <alignment horizontal="left"/>
      <protection locked="0"/>
    </xf>
    <xf numFmtId="0" fontId="45" fillId="0" borderId="0" xfId="30" applyNumberFormat="1" applyFont="1" applyFill="1" applyBorder="1" applyAlignment="1" applyProtection="1">
      <alignment horizontal="left"/>
      <protection locked="0"/>
    </xf>
    <xf numFmtId="0" fontId="21" fillId="0" borderId="0" xfId="30" applyNumberFormat="1" applyFont="1" applyFill="1" applyBorder="1" applyAlignment="1" applyProtection="1">
      <alignment horizontal="left"/>
      <protection locked="0"/>
    </xf>
    <xf numFmtId="0" fontId="7" fillId="36" borderId="35" xfId="0" applyNumberFormat="1" applyFont="1" applyFill="1" applyBorder="1" applyAlignment="1" applyProtection="1">
      <alignment wrapText="1"/>
      <protection hidden="1"/>
    </xf>
    <xf numFmtId="0" fontId="80" fillId="36" borderId="35" xfId="30" applyNumberFormat="1" applyFont="1" applyFill="1" applyBorder="1" applyAlignment="1" applyProtection="1">
      <alignment horizontal="left"/>
      <protection hidden="1"/>
    </xf>
    <xf numFmtId="0" fontId="80" fillId="36" borderId="35" xfId="30" applyNumberFormat="1" applyFont="1" applyFill="1" applyBorder="1" applyAlignment="1" applyProtection="1">
      <alignment horizontal="right"/>
      <protection hidden="1"/>
    </xf>
    <xf numFmtId="0" fontId="17" fillId="42" borderId="42" xfId="30" applyNumberFormat="1" applyFont="1" applyFill="1" applyBorder="1" applyAlignment="1" applyProtection="1">
      <alignment horizontal="center" vertical="top"/>
      <protection hidden="1"/>
    </xf>
    <xf numFmtId="0" fontId="17" fillId="82" borderId="89" xfId="30" applyNumberFormat="1" applyFont="1" applyFill="1" applyBorder="1" applyAlignment="1" applyProtection="1">
      <alignment horizontal="center"/>
      <protection hidden="1"/>
    </xf>
    <xf numFmtId="0" fontId="27" fillId="36" borderId="35" xfId="30" applyNumberFormat="1" applyFont="1" applyFill="1" applyBorder="1" applyAlignment="1" applyProtection="1">
      <alignment horizontal="left"/>
      <protection hidden="1"/>
    </xf>
    <xf numFmtId="0" fontId="78" fillId="36" borderId="35" xfId="30" applyNumberFormat="1" applyFont="1" applyFill="1" applyBorder="1" applyAlignment="1" applyProtection="1">
      <alignment vertical="center" wrapText="1"/>
      <protection hidden="1"/>
    </xf>
    <xf numFmtId="0" fontId="23" fillId="36" borderId="35" xfId="0" applyNumberFormat="1" applyFont="1" applyFill="1" applyBorder="1" applyAlignment="1" applyProtection="1">
      <protection hidden="1"/>
    </xf>
    <xf numFmtId="0" fontId="43" fillId="36" borderId="35" xfId="14" applyNumberFormat="1" applyFont="1" applyFill="1" applyBorder="1" applyAlignment="1" applyProtection="1">
      <alignment horizontal="right"/>
      <protection hidden="1"/>
    </xf>
    <xf numFmtId="1" fontId="17" fillId="36" borderId="35" xfId="30" applyNumberFormat="1" applyFont="1" applyFill="1" applyBorder="1" applyAlignment="1" applyProtection="1">
      <alignment horizontal="right"/>
      <protection hidden="1"/>
    </xf>
    <xf numFmtId="0" fontId="17" fillId="95" borderId="99" xfId="30" applyNumberFormat="1" applyFont="1" applyFill="1" applyBorder="1" applyAlignment="1" applyProtection="1">
      <alignment horizontal="right"/>
      <protection hidden="1"/>
    </xf>
    <xf numFmtId="0" fontId="17" fillId="96" borderId="100" xfId="30" applyNumberFormat="1" applyFont="1" applyFill="1" applyBorder="1" applyAlignment="1" applyProtection="1">
      <alignment horizontal="right"/>
      <protection hidden="1"/>
    </xf>
    <xf numFmtId="0" fontId="17" fillId="36" borderId="35" xfId="30" applyNumberFormat="1" applyFont="1" applyFill="1" applyBorder="1" applyAlignment="1" applyProtection="1">
      <alignment vertical="center"/>
      <protection hidden="1"/>
    </xf>
    <xf numFmtId="0" fontId="17" fillId="36" borderId="35" xfId="30" applyNumberFormat="1" applyFont="1" applyFill="1" applyBorder="1" applyAlignment="1" applyProtection="1">
      <alignment vertical="center" wrapText="1"/>
      <protection hidden="1"/>
    </xf>
    <xf numFmtId="0" fontId="23" fillId="36" borderId="35" xfId="30" applyNumberFormat="1" applyFont="1" applyFill="1" applyBorder="1" applyAlignment="1" applyProtection="1">
      <alignment horizontal="center" vertical="center" wrapText="1"/>
      <protection hidden="1"/>
    </xf>
    <xf numFmtId="165" fontId="23" fillId="36" borderId="35" xfId="30" applyNumberFormat="1" applyFont="1" applyFill="1" applyBorder="1" applyAlignment="1" applyProtection="1">
      <alignment horizontal="right"/>
      <protection hidden="1"/>
    </xf>
    <xf numFmtId="0" fontId="41" fillId="36" borderId="35" xfId="0" applyNumberFormat="1" applyFont="1" applyFill="1" applyBorder="1" applyAlignment="1" applyProtection="1">
      <protection hidden="1"/>
    </xf>
    <xf numFmtId="0" fontId="17" fillId="50" borderId="53" xfId="30" applyNumberFormat="1" applyFont="1" applyFill="1" applyBorder="1" applyAlignment="1" applyProtection="1">
      <alignment horizontal="center"/>
      <protection hidden="1"/>
    </xf>
    <xf numFmtId="165" fontId="17" fillId="50" borderId="53" xfId="30" applyNumberFormat="1" applyFont="1" applyFill="1" applyBorder="1" applyAlignment="1" applyProtection="1">
      <alignment horizontal="center"/>
      <protection hidden="1"/>
    </xf>
    <xf numFmtId="0" fontId="17" fillId="41" borderId="41" xfId="30" applyNumberFormat="1" applyFont="1" applyFill="1" applyBorder="1" applyAlignment="1" applyProtection="1">
      <alignment horizontal="center"/>
      <protection hidden="1"/>
    </xf>
    <xf numFmtId="0" fontId="86" fillId="97" borderId="101" xfId="30" applyNumberFormat="1" applyFont="1" applyFill="1" applyBorder="1" applyAlignment="1" applyProtection="1">
      <alignment horizontal="center"/>
      <protection hidden="1"/>
    </xf>
    <xf numFmtId="1" fontId="17" fillId="97" borderId="101" xfId="30" applyNumberFormat="1" applyFont="1" applyFill="1" applyBorder="1" applyAlignment="1" applyProtection="1">
      <alignment horizontal="center"/>
      <protection hidden="1"/>
    </xf>
    <xf numFmtId="0" fontId="17" fillId="49" borderId="52" xfId="30" applyNumberFormat="1" applyFont="1" applyFill="1" applyBorder="1" applyAlignment="1" applyProtection="1">
      <alignment horizontal="center"/>
      <protection hidden="1"/>
    </xf>
    <xf numFmtId="0" fontId="86" fillId="49" borderId="52" xfId="30" applyNumberFormat="1" applyFont="1" applyFill="1" applyBorder="1" applyAlignment="1" applyProtection="1">
      <alignment horizontal="center"/>
      <protection hidden="1"/>
    </xf>
    <xf numFmtId="1" fontId="17" fillId="49" borderId="52" xfId="30" applyNumberFormat="1" applyFont="1" applyFill="1" applyBorder="1" applyAlignment="1" applyProtection="1">
      <alignment horizontal="center"/>
      <protection hidden="1"/>
    </xf>
    <xf numFmtId="0" fontId="17" fillId="0" borderId="46" xfId="30" applyNumberFormat="1" applyFont="1" applyFill="1" applyBorder="1" applyAlignment="1" applyProtection="1">
      <alignment horizontal="left"/>
      <protection locked="0"/>
    </xf>
    <xf numFmtId="0" fontId="17" fillId="0" borderId="46" xfId="30" applyNumberFormat="1" applyFont="1" applyFill="1" applyBorder="1" applyAlignment="1" applyProtection="1">
      <protection locked="0"/>
    </xf>
    <xf numFmtId="0" fontId="17" fillId="0" borderId="46" xfId="30" applyNumberFormat="1" applyFont="1" applyFill="1" applyBorder="1" applyAlignment="1" applyProtection="1">
      <alignment horizontal="left" wrapText="1"/>
      <protection locked="0"/>
    </xf>
    <xf numFmtId="0" fontId="17" fillId="0" borderId="46" xfId="30" applyNumberFormat="1" applyFont="1" applyFill="1" applyBorder="1" applyAlignment="1" applyProtection="1">
      <alignment horizontal="right"/>
      <protection locked="0"/>
    </xf>
    <xf numFmtId="0" fontId="11" fillId="43" borderId="43" xfId="31" applyNumberFormat="1" applyFont="1" applyFill="1" applyBorder="1" applyAlignment="1" applyProtection="1">
      <alignment horizontal="right"/>
      <protection hidden="1"/>
    </xf>
    <xf numFmtId="9" fontId="17" fillId="98" borderId="103" xfId="30" applyNumberFormat="1" applyFont="1" applyFill="1" applyBorder="1" applyAlignment="1" applyProtection="1">
      <alignment horizontal="center"/>
      <protection locked="0"/>
    </xf>
    <xf numFmtId="0" fontId="24" fillId="37" borderId="36" xfId="0" applyNumberFormat="1" applyFont="1" applyFill="1" applyBorder="1" applyAlignment="1" applyProtection="1">
      <alignment horizontal="center"/>
      <protection hidden="1"/>
    </xf>
    <xf numFmtId="0" fontId="88" fillId="36" borderId="35" xfId="0" applyNumberFormat="1" applyFont="1" applyFill="1" applyBorder="1" applyAlignment="1" applyProtection="1">
      <protection hidden="1"/>
    </xf>
    <xf numFmtId="0" fontId="17" fillId="36" borderId="35" xfId="30" applyNumberFormat="1" applyFont="1" applyFill="1" applyBorder="1" applyAlignment="1" applyProtection="1">
      <alignment vertical="top"/>
      <protection hidden="1"/>
    </xf>
    <xf numFmtId="0" fontId="17" fillId="0" borderId="48" xfId="0" applyNumberFormat="1" applyFont="1" applyFill="1" applyBorder="1" applyAlignment="1" applyProtection="1">
      <alignment horizontal="center"/>
      <protection hidden="1"/>
    </xf>
    <xf numFmtId="165" fontId="17" fillId="37" borderId="36" xfId="30" applyNumberFormat="1" applyFont="1" applyFill="1" applyBorder="1" applyAlignment="1" applyProtection="1">
      <alignment horizontal="center"/>
      <protection hidden="1"/>
    </xf>
    <xf numFmtId="0" fontId="3" fillId="36" borderId="35" xfId="31" applyNumberFormat="1" applyFont="1" applyFill="1" applyBorder="1" applyAlignment="1" applyProtection="1">
      <protection hidden="1"/>
    </xf>
    <xf numFmtId="166" fontId="21" fillId="74" borderId="81" xfId="0" applyNumberFormat="1" applyFont="1" applyFill="1" applyBorder="1" applyAlignment="1" applyProtection="1">
      <alignment horizontal="center"/>
      <protection hidden="1"/>
    </xf>
    <xf numFmtId="0" fontId="21" fillId="50" borderId="53" xfId="0" applyNumberFormat="1" applyFont="1" applyFill="1" applyBorder="1" applyAlignment="1" applyProtection="1">
      <alignment horizontal="center"/>
      <protection hidden="1"/>
    </xf>
    <xf numFmtId="1" fontId="21" fillId="74" borderId="81" xfId="0" applyNumberFormat="1" applyFont="1" applyFill="1" applyBorder="1" applyAlignment="1" applyProtection="1">
      <alignment horizontal="center"/>
      <protection hidden="1"/>
    </xf>
    <xf numFmtId="165" fontId="21" fillId="74" borderId="81" xfId="0" applyNumberFormat="1" applyFont="1" applyFill="1" applyBorder="1" applyAlignment="1" applyProtection="1">
      <alignment horizontal="center"/>
      <protection hidden="1"/>
    </xf>
    <xf numFmtId="165" fontId="21" fillId="42" borderId="42" xfId="0" applyNumberFormat="1" applyFont="1" applyFill="1" applyBorder="1" applyAlignment="1" applyProtection="1">
      <alignment horizontal="center"/>
      <protection hidden="1"/>
    </xf>
    <xf numFmtId="1" fontId="73" fillId="48" borderId="51" xfId="30" applyNumberFormat="1" applyFont="1" applyFill="1" applyBorder="1" applyAlignment="1" applyProtection="1">
      <alignment horizontal="center"/>
      <protection locked="0"/>
    </xf>
    <xf numFmtId="0" fontId="17" fillId="73" borderId="80" xfId="0" applyNumberFormat="1" applyFont="1" applyFill="1" applyBorder="1" applyAlignment="1" applyProtection="1">
      <alignment horizontal="center"/>
      <protection locked="0"/>
    </xf>
    <xf numFmtId="0" fontId="17" fillId="100" borderId="105" xfId="0" applyNumberFormat="1" applyFont="1" applyFill="1" applyBorder="1" applyAlignment="1" applyProtection="1">
      <alignment horizontal="center"/>
      <protection locked="0"/>
    </xf>
    <xf numFmtId="0" fontId="7" fillId="36" borderId="35" xfId="0" applyNumberFormat="1" applyFont="1" applyFill="1" applyBorder="1" applyAlignment="1" applyProtection="1">
      <protection hidden="1"/>
    </xf>
    <xf numFmtId="166" fontId="17" fillId="0" borderId="46" xfId="30" applyNumberFormat="1" applyFont="1" applyFill="1" applyBorder="1" applyAlignment="1" applyProtection="1">
      <alignment horizontal="center"/>
      <protection hidden="1"/>
    </xf>
    <xf numFmtId="169" fontId="17" fillId="42" borderId="42" xfId="29" applyNumberFormat="1" applyFont="1" applyFill="1" applyBorder="1" applyAlignment="1" applyProtection="1">
      <alignment horizontal="center" wrapText="1"/>
      <protection hidden="1"/>
    </xf>
    <xf numFmtId="0" fontId="11" fillId="36" borderId="35" xfId="30" applyNumberFormat="1" applyFont="1" applyFill="1" applyBorder="1" applyAlignment="1" applyProtection="1">
      <alignment horizontal="right"/>
      <protection hidden="1"/>
    </xf>
    <xf numFmtId="0" fontId="17" fillId="58" borderId="62" xfId="29" applyNumberFormat="1" applyFont="1" applyFill="1" applyBorder="1" applyAlignment="1" applyProtection="1">
      <alignment horizontal="left" wrapText="1"/>
      <protection hidden="1"/>
    </xf>
    <xf numFmtId="0" fontId="17" fillId="101" borderId="106" xfId="30" applyNumberFormat="1" applyFont="1" applyFill="1" applyBorder="1" applyAlignment="1" applyProtection="1">
      <alignment horizontal="center"/>
      <protection hidden="1"/>
    </xf>
    <xf numFmtId="0" fontId="17" fillId="102" borderId="107" xfId="30" applyNumberFormat="1" applyFont="1" applyFill="1" applyBorder="1" applyAlignment="1" applyProtection="1">
      <alignment horizontal="center"/>
      <protection hidden="1"/>
    </xf>
    <xf numFmtId="0" fontId="17" fillId="103" borderId="108" xfId="0" applyNumberFormat="1" applyFont="1" applyFill="1" applyBorder="1" applyAlignment="1" applyProtection="1">
      <alignment horizontal="center"/>
      <protection locked="0"/>
    </xf>
    <xf numFmtId="0" fontId="92" fillId="36" borderId="35" xfId="0" applyNumberFormat="1" applyFont="1" applyFill="1" applyBorder="1" applyAlignment="1" applyProtection="1">
      <alignment horizontal="center" wrapText="1"/>
      <protection hidden="1"/>
    </xf>
    <xf numFmtId="2" fontId="92" fillId="67" borderId="74" xfId="0" applyNumberFormat="1" applyFont="1" applyFill="1" applyBorder="1" applyAlignment="1" applyProtection="1">
      <alignment horizontal="center"/>
      <protection hidden="1"/>
    </xf>
    <xf numFmtId="2" fontId="92" fillId="83" borderId="90" xfId="0" applyNumberFormat="1" applyFont="1" applyFill="1" applyBorder="1" applyAlignment="1" applyProtection="1">
      <alignment horizontal="center"/>
      <protection hidden="1"/>
    </xf>
    <xf numFmtId="0" fontId="23" fillId="36" borderId="35" xfId="0" applyNumberFormat="1" applyFont="1" applyFill="1" applyBorder="1" applyAlignment="1" applyProtection="1">
      <alignment horizontal="center" wrapText="1"/>
      <protection hidden="1"/>
    </xf>
    <xf numFmtId="0" fontId="17" fillId="14" borderId="13" xfId="30" applyNumberFormat="1" applyFont="1" applyFill="1" applyBorder="1" applyAlignment="1" applyProtection="1">
      <alignment horizontal="left"/>
      <protection hidden="1"/>
    </xf>
    <xf numFmtId="166" fontId="19" fillId="37" borderId="36" xfId="30" applyNumberFormat="1" applyFont="1" applyFill="1" applyBorder="1" applyAlignment="1" applyProtection="1">
      <alignment horizontal="left"/>
      <protection hidden="1"/>
    </xf>
    <xf numFmtId="165" fontId="17" fillId="0" borderId="0" xfId="30" applyNumberFormat="1" applyFont="1" applyFill="1" applyBorder="1" applyAlignment="1" applyProtection="1">
      <alignment horizontal="left"/>
      <protection hidden="1"/>
    </xf>
    <xf numFmtId="0" fontId="17" fillId="14" borderId="13" xfId="30" applyNumberFormat="1" applyFont="1" applyFill="1" applyBorder="1" applyAlignment="1" applyProtection="1">
      <alignment horizontal="center"/>
      <protection hidden="1"/>
    </xf>
    <xf numFmtId="0" fontId="56" fillId="0" borderId="0" xfId="0" applyNumberFormat="1" applyFont="1" applyFill="1" applyBorder="1" applyAlignment="1" applyProtection="1">
      <alignment horizontal="center"/>
      <protection hidden="1"/>
    </xf>
    <xf numFmtId="0" fontId="24" fillId="36" borderId="35" xfId="0" applyNumberFormat="1" applyFont="1" applyFill="1" applyBorder="1" applyAlignment="1" applyProtection="1">
      <protection hidden="1"/>
    </xf>
    <xf numFmtId="0" fontId="44" fillId="36" borderId="35" xfId="30" applyNumberFormat="1" applyFont="1" applyFill="1" applyBorder="1" applyAlignment="1" applyProtection="1">
      <protection hidden="1"/>
    </xf>
    <xf numFmtId="0" fontId="28" fillId="49" borderId="52" xfId="0" applyNumberFormat="1" applyFont="1" applyFill="1" applyBorder="1" applyAlignment="1" applyProtection="1">
      <alignment wrapText="1"/>
      <protection hidden="1"/>
    </xf>
    <xf numFmtId="0" fontId="59" fillId="36" borderId="35" xfId="0" applyNumberFormat="1" applyFont="1" applyFill="1" applyBorder="1" applyAlignment="1" applyProtection="1">
      <alignment wrapText="1"/>
      <protection hidden="1"/>
    </xf>
    <xf numFmtId="0" fontId="93" fillId="55" borderId="59" xfId="0" applyNumberFormat="1" applyFont="1" applyFill="1" applyBorder="1" applyAlignment="1" applyProtection="1">
      <alignment horizontal="center"/>
      <protection hidden="1"/>
    </xf>
    <xf numFmtId="0" fontId="93" fillId="47" borderId="50" xfId="0" applyNumberFormat="1" applyFont="1" applyFill="1" applyBorder="1" applyAlignment="1" applyProtection="1">
      <alignment horizontal="center"/>
      <protection locked="0"/>
    </xf>
    <xf numFmtId="0" fontId="93" fillId="99" borderId="104" xfId="0" applyNumberFormat="1" applyFont="1" applyFill="1" applyBorder="1" applyAlignment="1" applyProtection="1">
      <alignment horizontal="center"/>
      <protection locked="0"/>
    </xf>
    <xf numFmtId="0" fontId="93" fillId="99" borderId="104" xfId="30" applyNumberFormat="1" applyFont="1" applyFill="1" applyBorder="1" applyAlignment="1" applyProtection="1">
      <alignment horizontal="center"/>
      <protection locked="0"/>
    </xf>
    <xf numFmtId="0" fontId="93" fillId="109" borderId="114" xfId="30" applyNumberFormat="1" applyFont="1" applyFill="1" applyBorder="1" applyAlignment="1" applyProtection="1">
      <alignment horizontal="center"/>
      <protection locked="0"/>
    </xf>
    <xf numFmtId="0" fontId="93" fillId="50" borderId="53" xfId="30" applyNumberFormat="1" applyFont="1" applyFill="1" applyBorder="1" applyAlignment="1" applyProtection="1">
      <alignment horizontal="center"/>
      <protection hidden="1"/>
    </xf>
    <xf numFmtId="0" fontId="93" fillId="38" borderId="37" xfId="30" applyNumberFormat="1" applyFont="1" applyFill="1" applyBorder="1" applyAlignment="1" applyProtection="1">
      <alignment horizontal="center"/>
      <protection hidden="1"/>
    </xf>
    <xf numFmtId="0" fontId="93" fillId="48" borderId="51" xfId="30" applyNumberFormat="1" applyFont="1" applyFill="1" applyBorder="1" applyAlignment="1" applyProtection="1">
      <alignment horizontal="center"/>
      <protection locked="0"/>
    </xf>
    <xf numFmtId="0" fontId="93" fillId="39" borderId="38" xfId="30" applyNumberFormat="1" applyFont="1" applyFill="1" applyBorder="1" applyAlignment="1" applyProtection="1">
      <alignment horizontal="center"/>
      <protection locked="0"/>
    </xf>
    <xf numFmtId="0" fontId="93" fillId="39" borderId="38" xfId="0" applyNumberFormat="1" applyFont="1" applyFill="1" applyBorder="1" applyAlignment="1" applyProtection="1">
      <alignment horizontal="center"/>
      <protection locked="0"/>
    </xf>
    <xf numFmtId="0" fontId="93" fillId="45" borderId="45" xfId="30" applyNumberFormat="1" applyFont="1" applyFill="1" applyBorder="1" applyAlignment="1" applyProtection="1">
      <alignment horizontal="center"/>
      <protection locked="0"/>
    </xf>
    <xf numFmtId="0" fontId="17" fillId="0" borderId="65" xfId="0" applyNumberFormat="1" applyFont="1" applyFill="1" applyBorder="1" applyAlignment="1" applyProtection="1">
      <protection hidden="1"/>
    </xf>
    <xf numFmtId="165" fontId="17" fillId="38" borderId="37" xfId="0" applyNumberFormat="1" applyFont="1" applyFill="1" applyBorder="1" applyAlignment="1" applyProtection="1">
      <alignment horizontal="center"/>
      <protection hidden="1"/>
    </xf>
    <xf numFmtId="165" fontId="17" fillId="110" borderId="115" xfId="0" applyNumberFormat="1" applyFont="1" applyFill="1" applyBorder="1" applyAlignment="1" applyProtection="1">
      <alignment horizontal="center"/>
      <protection hidden="1"/>
    </xf>
    <xf numFmtId="0" fontId="17" fillId="99" borderId="104" xfId="0" applyNumberFormat="1" applyFont="1" applyFill="1" applyBorder="1" applyAlignment="1" applyProtection="1">
      <alignment horizontal="center"/>
      <protection locked="0"/>
    </xf>
    <xf numFmtId="0" fontId="17" fillId="111" borderId="116" xfId="0" applyNumberFormat="1" applyFont="1" applyFill="1" applyBorder="1" applyAlignment="1" applyProtection="1">
      <alignment horizontal="center"/>
      <protection locked="0"/>
    </xf>
    <xf numFmtId="0" fontId="17" fillId="50" borderId="53" xfId="0" applyNumberFormat="1" applyFont="1" applyFill="1" applyBorder="1" applyAlignment="1" applyProtection="1">
      <protection hidden="1"/>
    </xf>
    <xf numFmtId="0" fontId="45" fillId="39" borderId="38" xfId="0" applyNumberFormat="1" applyFont="1" applyFill="1" applyBorder="1" applyAlignment="1" applyProtection="1">
      <alignment horizontal="center"/>
      <protection locked="0"/>
    </xf>
    <xf numFmtId="0" fontId="89" fillId="48" borderId="51" xfId="0" applyNumberFormat="1" applyFont="1" applyFill="1" applyBorder="1" applyAlignment="1" applyProtection="1">
      <alignment horizontal="center"/>
      <protection locked="0"/>
    </xf>
    <xf numFmtId="0" fontId="89" fillId="45" borderId="45" xfId="0" applyNumberFormat="1" applyFont="1" applyFill="1" applyBorder="1" applyAlignment="1" applyProtection="1">
      <alignment horizontal="center"/>
      <protection locked="0"/>
    </xf>
    <xf numFmtId="0" fontId="17" fillId="36" borderId="35" xfId="19" applyNumberFormat="1" applyFont="1" applyFill="1" applyBorder="1" applyAlignment="1" applyProtection="1">
      <protection hidden="1"/>
    </xf>
    <xf numFmtId="0" fontId="89" fillId="0" borderId="117" xfId="0" applyNumberFormat="1" applyFont="1" applyFill="1" applyBorder="1" applyAlignment="1" applyProtection="1">
      <alignment horizontal="center"/>
      <protection hidden="1"/>
    </xf>
    <xf numFmtId="0" fontId="23" fillId="0" borderId="49" xfId="0" applyNumberFormat="1" applyFont="1" applyFill="1" applyBorder="1" applyAlignment="1" applyProtection="1">
      <alignment horizontal="center"/>
      <protection hidden="1"/>
    </xf>
    <xf numFmtId="0" fontId="24" fillId="112" borderId="118" xfId="30" applyNumberFormat="1" applyFont="1" applyFill="1" applyBorder="1" applyAlignment="1" applyProtection="1">
      <protection locked="0"/>
    </xf>
    <xf numFmtId="165" fontId="17" fillId="113" borderId="119" xfId="30" applyNumberFormat="1" applyFont="1" applyFill="1" applyBorder="1" applyAlignment="1" applyProtection="1">
      <alignment horizontal="right"/>
      <protection hidden="1"/>
    </xf>
    <xf numFmtId="1" fontId="17" fillId="43" borderId="43" xfId="0" applyNumberFormat="1" applyFont="1" applyFill="1" applyBorder="1" applyAlignment="1" applyProtection="1">
      <alignment horizontal="right"/>
      <protection hidden="1"/>
    </xf>
    <xf numFmtId="165" fontId="17" fillId="43" borderId="43" xfId="0" applyNumberFormat="1" applyFont="1" applyFill="1" applyBorder="1" applyAlignment="1" applyProtection="1">
      <alignment horizontal="right"/>
      <protection hidden="1"/>
    </xf>
    <xf numFmtId="1" fontId="17" fillId="114" borderId="120" xfId="30" applyNumberFormat="1" applyFont="1" applyFill="1" applyBorder="1" applyAlignment="1" applyProtection="1">
      <alignment horizontal="right"/>
      <protection hidden="1"/>
    </xf>
    <xf numFmtId="165" fontId="17" fillId="114" borderId="120" xfId="33" applyNumberFormat="1" applyFont="1" applyFill="1" applyBorder="1" applyAlignment="1" applyProtection="1">
      <alignment horizontal="right"/>
      <protection hidden="1"/>
    </xf>
    <xf numFmtId="165" fontId="17" fillId="115" borderId="121" xfId="33" applyNumberFormat="1" applyFont="1" applyFill="1" applyBorder="1" applyAlignment="1" applyProtection="1">
      <alignment horizontal="right"/>
      <protection hidden="1"/>
    </xf>
    <xf numFmtId="1" fontId="17" fillId="116" borderId="122" xfId="0" applyNumberFormat="1" applyFont="1" applyFill="1" applyBorder="1" applyAlignment="1" applyProtection="1">
      <alignment horizontal="right"/>
      <protection hidden="1"/>
    </xf>
    <xf numFmtId="165" fontId="17" fillId="116" borderId="122" xfId="0" applyNumberFormat="1" applyFont="1" applyFill="1" applyBorder="1" applyAlignment="1" applyProtection="1">
      <alignment horizontal="right"/>
      <protection hidden="1"/>
    </xf>
    <xf numFmtId="165" fontId="17" fillId="117" borderId="123" xfId="30" applyNumberFormat="1" applyFont="1" applyFill="1" applyBorder="1" applyAlignment="1" applyProtection="1">
      <alignment horizontal="right"/>
      <protection hidden="1"/>
    </xf>
    <xf numFmtId="1" fontId="24" fillId="116" borderId="122" xfId="0" applyNumberFormat="1" applyFont="1" applyFill="1" applyBorder="1" applyAlignment="1" applyProtection="1">
      <alignment horizontal="right"/>
      <protection hidden="1"/>
    </xf>
    <xf numFmtId="1" fontId="24" fillId="114" borderId="120" xfId="30" applyNumberFormat="1" applyFont="1" applyFill="1" applyBorder="1" applyAlignment="1" applyProtection="1">
      <alignment horizontal="right"/>
      <protection hidden="1"/>
    </xf>
    <xf numFmtId="0" fontId="24" fillId="118" borderId="124" xfId="30" applyNumberFormat="1" applyFont="1" applyFill="1" applyBorder="1" applyAlignment="1" applyProtection="1">
      <alignment horizontal="right"/>
      <protection locked="0"/>
    </xf>
    <xf numFmtId="0" fontId="27" fillId="119" borderId="125" xfId="33" applyNumberFormat="1" applyFont="1" applyFill="1" applyBorder="1" applyAlignment="1" applyProtection="1">
      <protection hidden="1"/>
    </xf>
    <xf numFmtId="1" fontId="17" fillId="120" borderId="126" xfId="0" applyNumberFormat="1" applyFont="1" applyFill="1" applyBorder="1" applyAlignment="1" applyProtection="1">
      <alignment horizontal="right"/>
      <protection hidden="1"/>
    </xf>
    <xf numFmtId="1" fontId="17" fillId="121" borderId="127" xfId="30" applyNumberFormat="1" applyFont="1" applyFill="1" applyBorder="1" applyAlignment="1" applyProtection="1">
      <alignment horizontal="right"/>
      <protection hidden="1"/>
    </xf>
    <xf numFmtId="1" fontId="17" fillId="122" borderId="128" xfId="0" applyNumberFormat="1" applyFont="1" applyFill="1" applyBorder="1" applyAlignment="1" applyProtection="1">
      <alignment horizontal="right"/>
      <protection hidden="1"/>
    </xf>
    <xf numFmtId="1" fontId="21" fillId="36" borderId="35" xfId="30" applyNumberFormat="1" applyFont="1" applyFill="1" applyBorder="1" applyAlignment="1" applyProtection="1">
      <alignment horizontal="left"/>
      <protection hidden="1"/>
    </xf>
    <xf numFmtId="1" fontId="17" fillId="36" borderId="35" xfId="30" applyNumberFormat="1" applyFont="1" applyFill="1" applyBorder="1" applyAlignment="1" applyProtection="1">
      <alignment horizontal="left"/>
      <protection hidden="1"/>
    </xf>
    <xf numFmtId="0" fontId="24" fillId="57" borderId="61" xfId="30" applyNumberFormat="1" applyFont="1" applyFill="1" applyBorder="1" applyAlignment="1" applyProtection="1">
      <protection locked="0"/>
    </xf>
    <xf numFmtId="1" fontId="17" fillId="123" borderId="129" xfId="0" applyNumberFormat="1" applyFont="1" applyFill="1" applyBorder="1" applyAlignment="1" applyProtection="1">
      <alignment horizontal="right"/>
      <protection hidden="1"/>
    </xf>
    <xf numFmtId="1" fontId="17" fillId="124" borderId="130" xfId="0" applyNumberFormat="1" applyFont="1" applyFill="1" applyBorder="1" applyAlignment="1" applyProtection="1">
      <alignment horizontal="right"/>
      <protection hidden="1"/>
    </xf>
    <xf numFmtId="165" fontId="17" fillId="123" borderId="129" xfId="0" applyNumberFormat="1" applyFont="1" applyFill="1" applyBorder="1" applyAlignment="1" applyProtection="1">
      <alignment horizontal="right"/>
      <protection hidden="1"/>
    </xf>
    <xf numFmtId="165" fontId="17" fillId="125" borderId="131" xfId="30" applyNumberFormat="1" applyFont="1" applyFill="1" applyBorder="1" applyAlignment="1" applyProtection="1">
      <alignment horizontal="right"/>
      <protection hidden="1"/>
    </xf>
    <xf numFmtId="0" fontId="17" fillId="48" borderId="51" xfId="30" applyNumberFormat="1" applyFont="1" applyFill="1" applyBorder="1" applyAlignment="1" applyProtection="1">
      <protection locked="0"/>
    </xf>
    <xf numFmtId="0" fontId="69" fillId="39" borderId="38" xfId="30" applyNumberFormat="1" applyFont="1" applyFill="1" applyBorder="1" applyAlignment="1" applyProtection="1">
      <alignment horizontal="right"/>
      <protection locked="0"/>
    </xf>
    <xf numFmtId="165" fontId="17" fillId="42" borderId="42" xfId="30" applyNumberFormat="1" applyFont="1" applyFill="1" applyBorder="1" applyAlignment="1" applyProtection="1">
      <alignment horizontal="right"/>
      <protection hidden="1"/>
    </xf>
    <xf numFmtId="0" fontId="17" fillId="36" borderId="35" xfId="30" applyNumberFormat="1" applyFont="1" applyFill="1" applyBorder="1" applyAlignment="1" applyProtection="1">
      <alignment wrapText="1"/>
      <protection hidden="1"/>
    </xf>
    <xf numFmtId="0" fontId="17" fillId="36" borderId="35" xfId="23" applyNumberFormat="1" applyFont="1" applyFill="1" applyBorder="1" applyAlignment="1" applyProtection="1">
      <alignment horizontal="right"/>
      <protection hidden="1"/>
    </xf>
    <xf numFmtId="2" fontId="17" fillId="36" borderId="35" xfId="30" applyNumberFormat="1" applyFont="1" applyFill="1" applyBorder="1" applyAlignment="1" applyProtection="1">
      <protection hidden="1"/>
    </xf>
    <xf numFmtId="0" fontId="90" fillId="36" borderId="35" xfId="30" applyNumberFormat="1" applyFont="1" applyFill="1" applyBorder="1" applyAlignment="1" applyProtection="1">
      <alignment vertical="center" wrapText="1"/>
      <protection hidden="1"/>
    </xf>
    <xf numFmtId="2" fontId="17" fillId="74" borderId="81" xfId="0" applyNumberFormat="1" applyFont="1" applyFill="1" applyBorder="1" applyAlignment="1" applyProtection="1">
      <protection hidden="1"/>
    </xf>
    <xf numFmtId="165" fontId="17" fillId="74" borderId="81" xfId="0" applyNumberFormat="1" applyFont="1" applyFill="1" applyBorder="1" applyAlignment="1" applyProtection="1">
      <protection hidden="1"/>
    </xf>
    <xf numFmtId="165" fontId="17" fillId="83" borderId="90" xfId="30" applyNumberFormat="1" applyFont="1" applyFill="1" applyBorder="1" applyAlignment="1" applyProtection="1">
      <alignment wrapText="1"/>
      <protection hidden="1"/>
    </xf>
    <xf numFmtId="165" fontId="17" fillId="83" borderId="90" xfId="30" applyNumberFormat="1" applyFont="1" applyFill="1" applyBorder="1" applyAlignment="1" applyProtection="1">
      <protection hidden="1"/>
    </xf>
    <xf numFmtId="0" fontId="45" fillId="83" borderId="90" xfId="30" applyNumberFormat="1" applyFont="1" applyFill="1" applyBorder="1" applyAlignment="1" applyProtection="1">
      <protection hidden="1"/>
    </xf>
    <xf numFmtId="1" fontId="45" fillId="74" borderId="81" xfId="30" applyNumberFormat="1" applyFont="1" applyFill="1" applyBorder="1" applyAlignment="1" applyProtection="1">
      <protection hidden="1"/>
    </xf>
    <xf numFmtId="2" fontId="20" fillId="74" borderId="81" xfId="30" applyNumberFormat="1" applyFont="1" applyFill="1" applyBorder="1" applyAlignment="1" applyProtection="1">
      <protection hidden="1"/>
    </xf>
    <xf numFmtId="2" fontId="17" fillId="74" borderId="81" xfId="30" applyNumberFormat="1" applyFont="1" applyFill="1" applyBorder="1" applyAlignment="1" applyProtection="1">
      <protection hidden="1"/>
    </xf>
    <xf numFmtId="165" fontId="17" fillId="42" borderId="42" xfId="30" applyNumberFormat="1" applyFont="1" applyFill="1" applyBorder="1" applyAlignment="1" applyProtection="1">
      <protection hidden="1"/>
    </xf>
    <xf numFmtId="0" fontId="17" fillId="48" borderId="51" xfId="30" applyNumberFormat="1" applyFont="1" applyFill="1" applyBorder="1" applyAlignment="1" applyProtection="1">
      <alignment horizontal="right"/>
      <protection locked="0"/>
    </xf>
    <xf numFmtId="2" fontId="17" fillId="41" borderId="41" xfId="0" applyNumberFormat="1" applyFont="1" applyFill="1" applyBorder="1" applyAlignment="1" applyProtection="1">
      <protection hidden="1"/>
    </xf>
    <xf numFmtId="2" fontId="17" fillId="42" borderId="42" xfId="0" applyNumberFormat="1" applyFont="1" applyFill="1" applyBorder="1" applyAlignment="1" applyProtection="1">
      <protection hidden="1"/>
    </xf>
    <xf numFmtId="0" fontId="17" fillId="39" borderId="38" xfId="30" applyNumberFormat="1" applyFont="1" applyFill="1" applyBorder="1" applyAlignment="1" applyProtection="1">
      <protection locked="0"/>
    </xf>
    <xf numFmtId="0" fontId="20" fillId="0" borderId="132" xfId="30" applyNumberFormat="1" applyFont="1" applyFill="1" applyBorder="1" applyAlignment="1" applyProtection="1">
      <alignment horizontal="center"/>
      <protection hidden="1"/>
    </xf>
    <xf numFmtId="1" fontId="20" fillId="0" borderId="132" xfId="30" applyNumberFormat="1" applyFont="1" applyFill="1" applyBorder="1" applyAlignment="1" applyProtection="1">
      <alignment horizontal="center"/>
      <protection hidden="1"/>
    </xf>
    <xf numFmtId="2" fontId="20" fillId="0" borderId="132" xfId="30" applyNumberFormat="1" applyFont="1" applyFill="1" applyBorder="1" applyAlignment="1" applyProtection="1">
      <alignment horizontal="center"/>
      <protection hidden="1"/>
    </xf>
    <xf numFmtId="2" fontId="20" fillId="51" borderId="55" xfId="30" applyNumberFormat="1" applyFont="1" applyFill="1" applyBorder="1" applyAlignment="1" applyProtection="1">
      <alignment horizontal="center"/>
      <protection hidden="1"/>
    </xf>
    <xf numFmtId="0" fontId="17" fillId="95" borderId="99" xfId="30" applyNumberFormat="1" applyFont="1" applyFill="1" applyBorder="1" applyAlignment="1" applyProtection="1">
      <protection locked="0"/>
    </xf>
    <xf numFmtId="167" fontId="20" fillId="0" borderId="132" xfId="30" applyNumberFormat="1" applyFont="1" applyFill="1" applyBorder="1" applyAlignment="1" applyProtection="1">
      <alignment horizontal="center"/>
      <protection hidden="1"/>
    </xf>
    <xf numFmtId="168" fontId="20" fillId="0" borderId="132" xfId="30" applyNumberFormat="1" applyFont="1" applyFill="1" applyBorder="1" applyAlignment="1" applyProtection="1">
      <alignment horizontal="center"/>
      <protection hidden="1"/>
    </xf>
    <xf numFmtId="0" fontId="17" fillId="0" borderId="132" xfId="0" applyNumberFormat="1" applyFont="1" applyFill="1" applyBorder="1" applyAlignment="1" applyProtection="1">
      <protection hidden="1"/>
    </xf>
    <xf numFmtId="0" fontId="17" fillId="51" borderId="55" xfId="0" applyNumberFormat="1" applyFont="1" applyFill="1" applyBorder="1" applyAlignment="1" applyProtection="1">
      <protection hidden="1"/>
    </xf>
    <xf numFmtId="1" fontId="17" fillId="127" borderId="134" xfId="30" applyNumberFormat="1" applyFont="1" applyFill="1" applyBorder="1" applyAlignment="1" applyProtection="1">
      <protection hidden="1"/>
    </xf>
    <xf numFmtId="0" fontId="17" fillId="127" borderId="134" xfId="30" applyNumberFormat="1" applyFont="1" applyFill="1" applyBorder="1" applyAlignment="1" applyProtection="1">
      <protection hidden="1"/>
    </xf>
    <xf numFmtId="0" fontId="43" fillId="36" borderId="35" xfId="14" applyNumberFormat="1" applyFont="1" applyFill="1" applyBorder="1" applyAlignment="1" applyProtection="1">
      <protection hidden="1"/>
    </xf>
    <xf numFmtId="165" fontId="17" fillId="97" borderId="101" xfId="0" applyNumberFormat="1" applyFont="1" applyFill="1" applyBorder="1" applyAlignment="1" applyProtection="1">
      <alignment horizontal="right"/>
      <protection hidden="1"/>
    </xf>
    <xf numFmtId="2" fontId="17" fillId="36" borderId="35" xfId="0" applyNumberFormat="1" applyFont="1" applyFill="1" applyBorder="1" applyAlignment="1" applyProtection="1">
      <alignment horizontal="right"/>
      <protection hidden="1"/>
    </xf>
    <xf numFmtId="165" fontId="17" fillId="74" borderId="81" xfId="30" applyNumberFormat="1" applyFont="1" applyFill="1" applyBorder="1" applyAlignment="1" applyProtection="1">
      <protection hidden="1"/>
    </xf>
    <xf numFmtId="165" fontId="17" fillId="41" borderId="41" xfId="0" applyNumberFormat="1" applyFont="1" applyFill="1" applyBorder="1" applyAlignment="1" applyProtection="1">
      <alignment horizontal="right"/>
      <protection hidden="1"/>
    </xf>
    <xf numFmtId="0" fontId="94" fillId="36" borderId="35" xfId="30" applyNumberFormat="1" applyFont="1" applyFill="1" applyBorder="1" applyAlignment="1" applyProtection="1">
      <protection hidden="1"/>
    </xf>
    <xf numFmtId="0" fontId="89" fillId="42" borderId="42" xfId="0" applyNumberFormat="1" applyFont="1" applyFill="1" applyBorder="1" applyAlignment="1" applyProtection="1">
      <alignment horizontal="center" wrapText="1"/>
      <protection hidden="1"/>
    </xf>
    <xf numFmtId="2" fontId="89" fillId="37" borderId="36" xfId="0" applyNumberFormat="1" applyFont="1" applyFill="1" applyBorder="1" applyAlignment="1" applyProtection="1">
      <alignment horizontal="center"/>
      <protection hidden="1"/>
    </xf>
    <xf numFmtId="2" fontId="89" fillId="74" borderId="81" xfId="0" applyNumberFormat="1" applyFont="1" applyFill="1" applyBorder="1" applyAlignment="1" applyProtection="1">
      <alignment horizontal="center"/>
      <protection hidden="1"/>
    </xf>
    <xf numFmtId="0" fontId="89" fillId="0" borderId="73" xfId="0" applyNumberFormat="1" applyFont="1" applyFill="1" applyBorder="1" applyAlignment="1" applyProtection="1">
      <alignment horizontal="center"/>
      <protection hidden="1"/>
    </xf>
    <xf numFmtId="2" fontId="89" fillId="50" borderId="53" xfId="30" applyNumberFormat="1" applyFont="1" applyFill="1" applyBorder="1" applyAlignment="1" applyProtection="1">
      <alignment horizontal="center"/>
      <protection hidden="1"/>
    </xf>
    <xf numFmtId="2" fontId="89" fillId="44" borderId="44" xfId="30" applyNumberFormat="1" applyFont="1" applyFill="1" applyBorder="1" applyAlignment="1" applyProtection="1">
      <alignment horizontal="center"/>
      <protection hidden="1"/>
    </xf>
    <xf numFmtId="2" fontId="89" fillId="38" borderId="37" xfId="30" applyNumberFormat="1" applyFont="1" applyFill="1" applyBorder="1" applyAlignment="1" applyProtection="1">
      <alignment horizontal="center"/>
      <protection hidden="1"/>
    </xf>
    <xf numFmtId="0" fontId="26" fillId="36" borderId="35" xfId="0" applyNumberFormat="1" applyFont="1" applyFill="1" applyBorder="1" applyAlignment="1" applyProtection="1">
      <alignment horizontal="left" wrapText="1"/>
      <protection hidden="1"/>
    </xf>
    <xf numFmtId="0" fontId="3" fillId="0" borderId="0" xfId="31" applyNumberFormat="1" applyFont="1" applyFill="1" applyBorder="1" applyAlignment="1" applyProtection="1">
      <protection hidden="1"/>
    </xf>
    <xf numFmtId="165" fontId="17" fillId="37" borderId="36" xfId="0" applyNumberFormat="1" applyFont="1" applyFill="1" applyBorder="1" applyAlignment="1" applyProtection="1">
      <alignment horizontal="center"/>
      <protection hidden="1"/>
    </xf>
    <xf numFmtId="0" fontId="23" fillId="19" borderId="18" xfId="28" applyNumberFormat="1" applyFont="1" applyFill="1" applyBorder="1" applyAlignment="1" applyProtection="1">
      <protection hidden="1"/>
    </xf>
    <xf numFmtId="0" fontId="17" fillId="37" borderId="36" xfId="0" applyNumberFormat="1" applyFont="1" applyFill="1" applyBorder="1" applyAlignment="1" applyProtection="1">
      <alignment horizontal="center"/>
      <protection hidden="1"/>
    </xf>
    <xf numFmtId="2" fontId="17" fillId="19" borderId="18" xfId="0" applyNumberFormat="1" applyFont="1" applyFill="1" applyBorder="1" applyAlignment="1" applyProtection="1">
      <alignment horizontal="center"/>
      <protection locked="0"/>
    </xf>
    <xf numFmtId="0" fontId="17" fillId="55" borderId="59" xfId="0" applyNumberFormat="1" applyFont="1" applyFill="1" applyBorder="1" applyAlignment="1" applyProtection="1">
      <alignment horizontal="center" wrapText="1"/>
      <protection hidden="1"/>
    </xf>
    <xf numFmtId="0" fontId="21" fillId="37" borderId="36" xfId="0" applyNumberFormat="1" applyFont="1" applyFill="1" applyBorder="1" applyAlignment="1" applyProtection="1">
      <alignment horizontal="center"/>
      <protection hidden="1"/>
    </xf>
    <xf numFmtId="0" fontId="19" fillId="42" borderId="42" xfId="0" applyNumberFormat="1" applyFont="1" applyFill="1" applyBorder="1" applyAlignment="1" applyProtection="1">
      <alignment horizontal="center" wrapText="1"/>
      <protection hidden="1"/>
    </xf>
    <xf numFmtId="165" fontId="21" fillId="0" borderId="0" xfId="30" applyNumberFormat="1" applyFont="1" applyFill="1" applyBorder="1" applyAlignment="1" applyProtection="1">
      <protection hidden="1"/>
    </xf>
    <xf numFmtId="0" fontId="17" fillId="97" borderId="101" xfId="30" applyNumberFormat="1" applyFont="1" applyFill="1" applyBorder="1" applyAlignment="1" applyProtection="1">
      <alignment vertical="top" wrapText="1"/>
      <protection hidden="1"/>
    </xf>
    <xf numFmtId="0" fontId="17" fillId="0" borderId="49" xfId="30" applyNumberFormat="1" applyFont="1" applyFill="1" applyBorder="1" applyAlignment="1" applyProtection="1">
      <alignment horizontal="center"/>
      <protection locked="0"/>
    </xf>
    <xf numFmtId="0" fontId="17" fillId="0" borderId="46" xfId="30" applyNumberFormat="1" applyFont="1" applyFill="1" applyBorder="1" applyAlignment="1" applyProtection="1">
      <alignment horizontal="center"/>
      <protection locked="0"/>
    </xf>
    <xf numFmtId="0" fontId="17" fillId="0" borderId="46" xfId="30" applyNumberFormat="1" applyFont="1" applyFill="1" applyBorder="1" applyAlignment="1" applyProtection="1">
      <alignment horizontal="center"/>
      <protection hidden="1"/>
    </xf>
    <xf numFmtId="0" fontId="17" fillId="128" borderId="135" xfId="30" applyNumberFormat="1" applyFont="1" applyFill="1" applyBorder="1" applyAlignment="1" applyProtection="1">
      <alignment horizontal="center"/>
      <protection locked="0"/>
    </xf>
    <xf numFmtId="0" fontId="87" fillId="0" borderId="46" xfId="30" applyNumberFormat="1" applyFont="1" applyFill="1" applyBorder="1" applyAlignment="1" applyProtection="1">
      <alignment horizontal="center"/>
      <protection locked="0"/>
    </xf>
    <xf numFmtId="49" fontId="93" fillId="54" borderId="58" xfId="30" applyNumberFormat="1" applyFont="1" applyFill="1" applyBorder="1" applyAlignment="1" applyProtection="1">
      <alignment horizontal="center"/>
      <protection hidden="1"/>
    </xf>
    <xf numFmtId="2" fontId="97" fillId="36" borderId="35" xfId="0" applyNumberFormat="1" applyFont="1" applyFill="1" applyBorder="1" applyAlignment="1" applyProtection="1">
      <protection hidden="1"/>
    </xf>
    <xf numFmtId="0" fontId="89" fillId="41" borderId="41" xfId="0" applyNumberFormat="1" applyFont="1" applyFill="1" applyBorder="1" applyAlignment="1" applyProtection="1">
      <alignment horizontal="center"/>
      <protection hidden="1"/>
    </xf>
    <xf numFmtId="0" fontId="89" fillId="74" borderId="81" xfId="0" applyNumberFormat="1" applyFont="1" applyFill="1" applyBorder="1" applyAlignment="1" applyProtection="1">
      <alignment horizontal="center"/>
      <protection hidden="1"/>
    </xf>
    <xf numFmtId="0" fontId="89" fillId="42" borderId="42" xfId="0" applyNumberFormat="1" applyFont="1" applyFill="1" applyBorder="1" applyAlignment="1" applyProtection="1">
      <alignment horizontal="center"/>
      <protection hidden="1"/>
    </xf>
    <xf numFmtId="0" fontId="3" fillId="43" borderId="43" xfId="30" applyNumberFormat="1" applyFont="1" applyFill="1" applyBorder="1" applyAlignment="1" applyProtection="1">
      <protection hidden="1"/>
    </xf>
    <xf numFmtId="0" fontId="84" fillId="43" borderId="43" xfId="30" applyNumberFormat="1" applyFont="1" applyFill="1" applyBorder="1" applyAlignment="1" applyProtection="1">
      <protection hidden="1"/>
    </xf>
    <xf numFmtId="0" fontId="84" fillId="114" borderId="120" xfId="30" applyNumberFormat="1" applyFont="1" applyFill="1" applyBorder="1" applyAlignment="1" applyProtection="1">
      <protection hidden="1"/>
    </xf>
    <xf numFmtId="0" fontId="17" fillId="131" borderId="141" xfId="30" applyNumberFormat="1" applyFont="1" applyFill="1" applyBorder="1" applyAlignment="1" applyProtection="1">
      <alignment horizontal="center"/>
      <protection locked="0"/>
    </xf>
    <xf numFmtId="0" fontId="99" fillId="43" borderId="43" xfId="0" applyNumberFormat="1" applyFont="1" applyFill="1" applyBorder="1" applyAlignment="1" applyProtection="1">
      <alignment vertical="center"/>
      <protection hidden="1"/>
    </xf>
    <xf numFmtId="0" fontId="17" fillId="132" borderId="142" xfId="30" applyNumberFormat="1" applyFont="1" applyFill="1" applyBorder="1" applyAlignment="1" applyProtection="1">
      <alignment horizontal="center"/>
      <protection hidden="1"/>
    </xf>
    <xf numFmtId="0" fontId="17" fillId="133" borderId="143" xfId="30" applyNumberFormat="1" applyFont="1" applyFill="1" applyBorder="1" applyAlignment="1" applyProtection="1">
      <alignment horizontal="center"/>
      <protection locked="0"/>
    </xf>
    <xf numFmtId="0" fontId="17" fillId="134" borderId="144" xfId="30" applyNumberFormat="1" applyFont="1" applyFill="1" applyBorder="1" applyAlignment="1" applyProtection="1">
      <alignment horizontal="center"/>
      <protection locked="0"/>
    </xf>
    <xf numFmtId="0" fontId="17" fillId="135" borderId="145" xfId="30" applyNumberFormat="1" applyFont="1" applyFill="1" applyBorder="1" applyAlignment="1" applyProtection="1">
      <alignment horizontal="center"/>
      <protection hidden="1"/>
    </xf>
    <xf numFmtId="0" fontId="16" fillId="36" borderId="35" xfId="14" applyNumberFormat="1" applyFont="1" applyFill="1" applyBorder="1" applyAlignment="1" applyProtection="1">
      <protection hidden="1"/>
    </xf>
    <xf numFmtId="0" fontId="27" fillId="49" borderId="52" xfId="30" applyNumberFormat="1" applyFont="1" applyFill="1" applyBorder="1" applyAlignment="1" applyProtection="1">
      <protection hidden="1"/>
    </xf>
    <xf numFmtId="2" fontId="21" fillId="37" borderId="36" xfId="0" applyNumberFormat="1" applyFont="1" applyFill="1" applyBorder="1" applyAlignment="1" applyProtection="1">
      <alignment horizontal="center"/>
      <protection hidden="1"/>
    </xf>
    <xf numFmtId="0" fontId="8" fillId="36" borderId="35" xfId="28" applyNumberFormat="1" applyFont="1" applyFill="1" applyBorder="1" applyAlignment="1" applyProtection="1">
      <protection hidden="1"/>
    </xf>
    <xf numFmtId="0" fontId="17" fillId="36" borderId="35" xfId="30" applyNumberFormat="1" applyFont="1" applyFill="1" applyBorder="1" applyAlignment="1" applyProtection="1">
      <alignment horizontal="centerContinuous"/>
      <protection hidden="1"/>
    </xf>
    <xf numFmtId="0" fontId="3" fillId="36" borderId="35" xfId="30" applyNumberFormat="1" applyFont="1" applyFill="1" applyBorder="1" applyAlignment="1" applyProtection="1">
      <alignment horizontal="centerContinuous"/>
      <protection hidden="1"/>
    </xf>
    <xf numFmtId="0" fontId="9" fillId="36" borderId="35" xfId="30" applyNumberFormat="1" applyFont="1" applyFill="1" applyBorder="1" applyAlignment="1" applyProtection="1">
      <protection hidden="1"/>
    </xf>
    <xf numFmtId="2" fontId="9" fillId="36" borderId="35" xfId="30" applyNumberFormat="1" applyFont="1" applyFill="1" applyBorder="1" applyAlignment="1" applyProtection="1">
      <protection hidden="1"/>
    </xf>
    <xf numFmtId="0" fontId="51" fillId="36" borderId="35" xfId="30" applyNumberFormat="1" applyFont="1" applyFill="1" applyBorder="1" applyAlignment="1" applyProtection="1">
      <protection hidden="1"/>
    </xf>
    <xf numFmtId="0" fontId="75" fillId="36" borderId="35" xfId="30" applyNumberFormat="1" applyFont="1" applyFill="1" applyBorder="1" applyAlignment="1" applyProtection="1">
      <protection hidden="1"/>
    </xf>
    <xf numFmtId="0" fontId="77" fillId="36" borderId="35" xfId="28" applyNumberFormat="1" applyFont="1" applyFill="1" applyBorder="1" applyAlignment="1" applyProtection="1">
      <protection hidden="1"/>
    </xf>
    <xf numFmtId="165" fontId="17" fillId="136" borderId="146" xfId="30" applyNumberFormat="1" applyFont="1" applyFill="1" applyBorder="1" applyAlignment="1" applyProtection="1">
      <protection hidden="1"/>
    </xf>
    <xf numFmtId="0" fontId="7" fillId="36" borderId="35" xfId="30" applyNumberFormat="1" applyFont="1" applyFill="1" applyBorder="1" applyAlignment="1" applyProtection="1">
      <alignment horizontal="centerContinuous" vertical="top"/>
      <protection hidden="1"/>
    </xf>
    <xf numFmtId="0" fontId="21" fillId="13" borderId="12" xfId="0" applyNumberFormat="1" applyFont="1" applyFill="1" applyBorder="1" applyAlignment="1" applyProtection="1">
      <alignment wrapText="1"/>
      <protection hidden="1"/>
    </xf>
    <xf numFmtId="0" fontId="17" fillId="12" borderId="11" xfId="0" applyNumberFormat="1" applyFont="1" applyFill="1" applyBorder="1" applyAlignment="1" applyProtection="1">
      <alignment wrapText="1"/>
      <protection hidden="1"/>
    </xf>
    <xf numFmtId="2" fontId="17" fillId="7" borderId="6" xfId="30" applyNumberFormat="1" applyFont="1" applyFill="1" applyBorder="1" applyAlignment="1" applyProtection="1">
      <protection hidden="1"/>
    </xf>
    <xf numFmtId="0" fontId="45" fillId="88" borderId="95" xfId="24" applyNumberFormat="1" applyFont="1" applyFill="1" applyBorder="1" applyAlignment="1" applyProtection="1">
      <alignment horizontal="left"/>
      <protection hidden="1"/>
    </xf>
    <xf numFmtId="0" fontId="17" fillId="0" borderId="65" xfId="0" applyNumberFormat="1" applyFont="1" applyFill="1" applyBorder="1" applyAlignment="1" applyProtection="1">
      <alignment horizontal="center"/>
      <protection hidden="1"/>
    </xf>
    <xf numFmtId="0" fontId="21" fillId="38" borderId="37" xfId="30" applyNumberFormat="1" applyFont="1" applyFill="1" applyBorder="1" applyAlignment="1" applyProtection="1">
      <alignment horizontal="center"/>
      <protection hidden="1"/>
    </xf>
    <xf numFmtId="0" fontId="20" fillId="36" borderId="35" xfId="30" applyNumberFormat="1" applyFont="1" applyFill="1" applyBorder="1" applyAlignment="1" applyProtection="1">
      <protection hidden="1"/>
    </xf>
    <xf numFmtId="0" fontId="17" fillId="36" borderId="35" xfId="30" applyNumberFormat="1" applyFont="1" applyFill="1" applyBorder="1" applyAlignment="1" applyProtection="1">
      <alignment vertical="top" wrapText="1"/>
      <protection hidden="1"/>
    </xf>
    <xf numFmtId="0" fontId="17" fillId="45" borderId="45" xfId="30" applyNumberFormat="1" applyFont="1" applyFill="1" applyBorder="1" applyAlignment="1" applyProtection="1">
      <protection locked="0"/>
    </xf>
    <xf numFmtId="0" fontId="100" fillId="38" borderId="37" xfId="30" applyNumberFormat="1" applyFont="1" applyFill="1" applyBorder="1" applyAlignment="1" applyProtection="1">
      <protection hidden="1"/>
    </xf>
    <xf numFmtId="166" fontId="17" fillId="56" borderId="60" xfId="30" applyNumberFormat="1" applyFont="1" applyFill="1" applyBorder="1" applyAlignment="1" applyProtection="1">
      <alignment horizontal="center"/>
      <protection hidden="1"/>
    </xf>
    <xf numFmtId="166" fontId="17" fillId="0" borderId="117" xfId="0" applyNumberFormat="1" applyFont="1" applyFill="1" applyBorder="1" applyAlignment="1" applyProtection="1">
      <alignment horizontal="center"/>
      <protection hidden="1"/>
    </xf>
    <xf numFmtId="0" fontId="17" fillId="48" borderId="51" xfId="0" applyNumberFormat="1" applyFont="1" applyFill="1" applyBorder="1" applyAlignment="1" applyProtection="1">
      <alignment horizontal="center"/>
      <protection locked="0"/>
    </xf>
    <xf numFmtId="0" fontId="17" fillId="45" borderId="45" xfId="0" applyNumberFormat="1" applyFont="1" applyFill="1" applyBorder="1" applyAlignment="1" applyProtection="1">
      <alignment horizontal="center"/>
      <protection locked="0"/>
    </xf>
    <xf numFmtId="2" fontId="17" fillId="37" borderId="36" xfId="0" applyNumberFormat="1" applyFont="1" applyFill="1" applyBorder="1" applyAlignment="1" applyProtection="1">
      <alignment horizontal="center"/>
      <protection hidden="1"/>
    </xf>
    <xf numFmtId="0" fontId="24" fillId="139" borderId="149" xfId="0" applyNumberFormat="1" applyFont="1" applyFill="1" applyBorder="1" applyAlignment="1" applyProtection="1">
      <alignment horizontal="center"/>
      <protection hidden="1"/>
    </xf>
    <xf numFmtId="0" fontId="19" fillId="125" borderId="131" xfId="0" applyNumberFormat="1" applyFont="1" applyFill="1" applyBorder="1" applyAlignment="1" applyProtection="1">
      <alignment horizontal="center"/>
      <protection hidden="1"/>
    </xf>
    <xf numFmtId="0" fontId="19" fillId="113" borderId="119" xfId="0" applyNumberFormat="1" applyFont="1" applyFill="1" applyBorder="1" applyAlignment="1" applyProtection="1">
      <alignment horizontal="center"/>
      <protection hidden="1"/>
    </xf>
    <xf numFmtId="0" fontId="17" fillId="140" borderId="150" xfId="0" applyNumberFormat="1" applyFont="1" applyFill="1" applyBorder="1" applyAlignment="1" applyProtection="1">
      <alignment horizontal="center"/>
      <protection locked="0"/>
    </xf>
    <xf numFmtId="0" fontId="45" fillId="116" borderId="122" xfId="0" applyNumberFormat="1" applyFont="1" applyFill="1" applyBorder="1" applyAlignment="1" applyProtection="1">
      <alignment horizontal="center"/>
      <protection hidden="1"/>
    </xf>
    <xf numFmtId="2" fontId="17" fillId="139" borderId="149" xfId="0" applyNumberFormat="1" applyFont="1" applyFill="1" applyBorder="1" applyAlignment="1" applyProtection="1">
      <alignment horizontal="center"/>
      <protection hidden="1"/>
    </xf>
    <xf numFmtId="0" fontId="17" fillId="116" borderId="122" xfId="30" applyNumberFormat="1" applyFont="1" applyFill="1" applyBorder="1" applyAlignment="1" applyProtection="1">
      <alignment horizontal="left"/>
      <protection hidden="1"/>
    </xf>
    <xf numFmtId="0" fontId="17" fillId="141" borderId="151" xfId="30" applyNumberFormat="1" applyFont="1" applyFill="1" applyBorder="1" applyAlignment="1" applyProtection="1">
      <alignment horizontal="center"/>
      <protection locked="0"/>
    </xf>
    <xf numFmtId="165" fontId="17" fillId="123" borderId="129" xfId="0" applyNumberFormat="1" applyFont="1" applyFill="1" applyBorder="1" applyAlignment="1" applyProtection="1">
      <alignment horizontal="center"/>
      <protection hidden="1"/>
    </xf>
    <xf numFmtId="0" fontId="45" fillId="123" borderId="129" xfId="0" applyNumberFormat="1" applyFont="1" applyFill="1" applyBorder="1" applyAlignment="1" applyProtection="1">
      <alignment horizontal="center"/>
      <protection hidden="1"/>
    </xf>
    <xf numFmtId="165" fontId="20" fillId="123" borderId="129" xfId="0" applyNumberFormat="1" applyFont="1" applyFill="1" applyBorder="1" applyAlignment="1" applyProtection="1">
      <alignment horizontal="center"/>
      <protection hidden="1"/>
    </xf>
    <xf numFmtId="0" fontId="17" fillId="141" borderId="151" xfId="259" applyNumberFormat="1" applyFont="1" applyFill="1" applyBorder="1" applyAlignment="1" applyProtection="1">
      <alignment horizontal="center"/>
      <protection locked="0"/>
    </xf>
    <xf numFmtId="165" fontId="17" fillId="56" borderId="60" xfId="30" applyNumberFormat="1" applyFont="1" applyFill="1" applyBorder="1" applyAlignment="1" applyProtection="1">
      <alignment horizontal="center"/>
      <protection hidden="1"/>
    </xf>
    <xf numFmtId="165" fontId="17" fillId="56" borderId="60" xfId="0" applyNumberFormat="1" applyFont="1" applyFill="1" applyBorder="1" applyAlignment="1" applyProtection="1">
      <alignment horizontal="left"/>
      <protection hidden="1"/>
    </xf>
    <xf numFmtId="165" fontId="45" fillId="94" borderId="98" xfId="0" applyNumberFormat="1" applyFont="1" applyFill="1" applyBorder="1" applyAlignment="1" applyProtection="1">
      <alignment horizontal="center"/>
      <protection hidden="1"/>
    </xf>
    <xf numFmtId="165" fontId="45" fillId="56" borderId="60" xfId="0" applyNumberFormat="1" applyFont="1" applyFill="1" applyBorder="1" applyAlignment="1" applyProtection="1">
      <alignment horizontal="center"/>
      <protection hidden="1"/>
    </xf>
    <xf numFmtId="2" fontId="17" fillId="56" borderId="60" xfId="0" applyNumberFormat="1" applyFont="1" applyFill="1" applyBorder="1" applyAlignment="1" applyProtection="1">
      <alignment horizontal="center"/>
      <protection hidden="1"/>
    </xf>
    <xf numFmtId="0" fontId="29" fillId="36" borderId="35" xfId="16" applyNumberFormat="1" applyFont="1" applyFill="1" applyBorder="1" applyAlignment="1" applyProtection="1">
      <alignment horizontal="center" wrapText="1"/>
      <protection hidden="1"/>
    </xf>
    <xf numFmtId="0" fontId="17" fillId="41" borderId="41" xfId="258" applyNumberFormat="1" applyFont="1" applyFill="1" applyBorder="1" applyAlignment="1" applyProtection="1">
      <alignment horizontal="center"/>
      <protection hidden="1"/>
    </xf>
    <xf numFmtId="0" fontId="17" fillId="74" borderId="81" xfId="258" applyNumberFormat="1" applyFont="1" applyFill="1" applyBorder="1" applyAlignment="1" applyProtection="1">
      <alignment horizontal="center"/>
      <protection hidden="1"/>
    </xf>
    <xf numFmtId="49" fontId="17" fillId="74" borderId="81" xfId="258" applyNumberFormat="1" applyFont="1" applyFill="1" applyBorder="1" applyAlignment="1" applyProtection="1">
      <alignment horizontal="center"/>
      <protection hidden="1"/>
    </xf>
    <xf numFmtId="0" fontId="4" fillId="74" borderId="81" xfId="258" applyNumberFormat="1" applyFont="1" applyFill="1" applyBorder="1" applyAlignment="1" applyProtection="1">
      <protection hidden="1"/>
    </xf>
    <xf numFmtId="49" fontId="17" fillId="74" borderId="81" xfId="258" applyNumberFormat="1" applyFont="1" applyFill="1" applyBorder="1" applyAlignment="1" applyProtection="1">
      <alignment horizontal="center" wrapText="1"/>
      <protection hidden="1"/>
    </xf>
    <xf numFmtId="0" fontId="17" fillId="36" borderId="35" xfId="16" applyNumberFormat="1" applyFont="1" applyFill="1" applyBorder="1" applyAlignment="1" applyProtection="1">
      <alignment vertical="top" wrapText="1"/>
      <protection hidden="1"/>
    </xf>
    <xf numFmtId="0" fontId="17" fillId="56" borderId="60" xfId="26" applyNumberFormat="1" applyFont="1" applyFill="1" applyBorder="1" applyAlignment="1" applyProtection="1">
      <alignment horizontal="center"/>
      <protection hidden="1"/>
    </xf>
    <xf numFmtId="2" fontId="17" fillId="56" borderId="60" xfId="30" applyNumberFormat="1" applyFont="1" applyFill="1" applyBorder="1" applyAlignment="1" applyProtection="1">
      <alignment horizontal="center"/>
      <protection hidden="1"/>
    </xf>
    <xf numFmtId="0" fontId="17" fillId="36" borderId="35" xfId="0" applyNumberFormat="1" applyFont="1" applyFill="1" applyBorder="1" applyAlignment="1" applyProtection="1">
      <alignment vertical="center"/>
      <protection hidden="1"/>
    </xf>
    <xf numFmtId="0" fontId="17" fillId="36" borderId="35" xfId="30" applyNumberFormat="1" applyFont="1" applyFill="1" applyBorder="1" applyAlignment="1" applyProtection="1">
      <alignment horizontal="center"/>
      <protection hidden="1"/>
    </xf>
    <xf numFmtId="166" fontId="17" fillId="36" borderId="35" xfId="30" applyNumberFormat="1" applyFont="1" applyFill="1" applyBorder="1" applyAlignment="1" applyProtection="1">
      <alignment horizontal="center"/>
      <protection hidden="1"/>
    </xf>
    <xf numFmtId="0" fontId="17" fillId="43" borderId="43" xfId="259" applyNumberFormat="1" applyFont="1" applyFill="1" applyBorder="1" applyAlignment="1" applyProtection="1">
      <alignment horizontal="left"/>
      <protection hidden="1"/>
    </xf>
    <xf numFmtId="0" fontId="81" fillId="0" borderId="0" xfId="0" applyNumberFormat="1" applyFont="1" applyFill="1" applyBorder="1" applyAlignment="1" applyProtection="1">
      <alignment horizontal="left"/>
      <protection hidden="1"/>
    </xf>
    <xf numFmtId="173" fontId="21" fillId="19" borderId="18" xfId="30" applyNumberFormat="1" applyFont="1" applyFill="1" applyBorder="1" applyAlignment="1" applyProtection="1">
      <alignment horizontal="center"/>
      <protection locked="0"/>
    </xf>
    <xf numFmtId="0" fontId="17" fillId="74" borderId="81" xfId="258" applyNumberFormat="1" applyFont="1" applyFill="1" applyBorder="1" applyAlignment="1" applyProtection="1">
      <protection hidden="1"/>
    </xf>
    <xf numFmtId="0" fontId="3" fillId="0" borderId="49" xfId="30" applyNumberFormat="1" applyFont="1" applyFill="1" applyBorder="1" applyAlignment="1" applyProtection="1">
      <protection hidden="1"/>
    </xf>
    <xf numFmtId="165" fontId="17" fillId="145" borderId="155" xfId="30" applyNumberFormat="1" applyFont="1" applyFill="1" applyBorder="1" applyAlignment="1" applyProtection="1">
      <protection hidden="1"/>
    </xf>
    <xf numFmtId="165" fontId="17" fillId="75" borderId="82" xfId="0" applyNumberFormat="1" applyFont="1" applyFill="1" applyBorder="1" applyAlignment="1" applyProtection="1">
      <alignment horizontal="center"/>
      <protection locked="0"/>
    </xf>
    <xf numFmtId="165" fontId="17" fillId="146" borderId="156" xfId="0" applyNumberFormat="1" applyFont="1" applyFill="1" applyBorder="1" applyAlignment="1" applyProtection="1">
      <alignment horizontal="center"/>
      <protection locked="0"/>
    </xf>
    <xf numFmtId="173" fontId="21" fillId="99" borderId="104" xfId="30" applyNumberFormat="1" applyFont="1" applyFill="1" applyBorder="1" applyAlignment="1" applyProtection="1">
      <alignment horizontal="center"/>
      <protection locked="0"/>
    </xf>
    <xf numFmtId="173" fontId="21" fillId="75" borderId="82" xfId="30" applyNumberFormat="1" applyFont="1" applyFill="1" applyBorder="1" applyAlignment="1" applyProtection="1">
      <alignment horizontal="center"/>
      <protection locked="0"/>
    </xf>
    <xf numFmtId="2" fontId="47" fillId="38" borderId="37" xfId="33" applyNumberFormat="1" applyFont="1" applyFill="1" applyBorder="1" applyAlignment="1" applyProtection="1">
      <alignment horizontal="right"/>
      <protection hidden="1"/>
    </xf>
    <xf numFmtId="0" fontId="47" fillId="55" borderId="59" xfId="0" applyNumberFormat="1" applyFont="1" applyFill="1" applyBorder="1" applyAlignment="1" applyProtection="1">
      <protection hidden="1"/>
    </xf>
    <xf numFmtId="0" fontId="68" fillId="36" borderId="35" xfId="18" applyNumberFormat="1" applyFont="1" applyFill="1" applyBorder="1" applyAlignment="1" applyProtection="1">
      <protection hidden="1"/>
    </xf>
    <xf numFmtId="166" fontId="20" fillId="4" borderId="3" xfId="30" applyNumberFormat="1" applyFont="1" applyFill="1" applyBorder="1" applyAlignment="1" applyProtection="1">
      <protection locked="0"/>
    </xf>
    <xf numFmtId="166" fontId="17" fillId="0" borderId="0" xfId="0" applyNumberFormat="1" applyFont="1" applyFill="1" applyBorder="1" applyAlignment="1" applyProtection="1">
      <protection locked="0"/>
    </xf>
    <xf numFmtId="175" fontId="20" fillId="4" borderId="3" xfId="30" applyNumberFormat="1" applyFont="1" applyFill="1" applyBorder="1" applyAlignment="1" applyProtection="1">
      <protection locked="0"/>
    </xf>
    <xf numFmtId="175" fontId="20" fillId="0" borderId="0" xfId="30" applyNumberFormat="1" applyFont="1" applyFill="1" applyBorder="1" applyAlignment="1" applyProtection="1">
      <protection locked="0"/>
    </xf>
    <xf numFmtId="0" fontId="17" fillId="44" borderId="44" xfId="30" applyNumberFormat="1" applyFont="1" applyFill="1" applyBorder="1" applyAlignment="1" applyProtection="1">
      <alignment wrapText="1"/>
      <protection hidden="1"/>
    </xf>
    <xf numFmtId="0" fontId="17" fillId="83" borderId="90" xfId="30" applyNumberFormat="1" applyFont="1" applyFill="1" applyBorder="1" applyAlignment="1" applyProtection="1">
      <alignment wrapText="1"/>
      <protection hidden="1"/>
    </xf>
    <xf numFmtId="0" fontId="8" fillId="36" borderId="35" xfId="28" applyNumberFormat="1" applyFont="1" applyFill="1" applyBorder="1" applyAlignment="1" applyProtection="1">
      <alignment horizontal="center"/>
      <protection hidden="1"/>
    </xf>
    <xf numFmtId="0" fontId="17" fillId="46" borderId="47" xfId="30" applyNumberFormat="1" applyFont="1" applyFill="1" applyBorder="1" applyAlignment="1" applyProtection="1">
      <alignment horizontal="center"/>
      <protection locked="0"/>
    </xf>
    <xf numFmtId="0" fontId="17" fillId="0" borderId="158" xfId="30" applyNumberFormat="1" applyFont="1" applyFill="1" applyBorder="1" applyAlignment="1" applyProtection="1">
      <alignment horizontal="center"/>
      <protection hidden="1"/>
    </xf>
    <xf numFmtId="0" fontId="17" fillId="147" borderId="159" xfId="30" applyNumberFormat="1" applyFont="1" applyFill="1" applyBorder="1" applyAlignment="1" applyProtection="1">
      <alignment horizontal="center"/>
      <protection locked="0"/>
    </xf>
    <xf numFmtId="0" fontId="17" fillId="148" borderId="160" xfId="30" applyNumberFormat="1" applyFont="1" applyFill="1" applyBorder="1" applyAlignment="1" applyProtection="1">
      <alignment horizontal="center"/>
      <protection hidden="1"/>
    </xf>
    <xf numFmtId="0" fontId="17" fillId="149" borderId="161" xfId="30" applyNumberFormat="1" applyFont="1" applyFill="1" applyBorder="1" applyAlignment="1" applyProtection="1">
      <alignment horizontal="center"/>
      <protection locked="0"/>
    </xf>
    <xf numFmtId="0" fontId="17" fillId="150" borderId="162" xfId="0" applyNumberFormat="1" applyFont="1" applyFill="1" applyBorder="1" applyAlignment="1" applyProtection="1">
      <alignment horizontal="center"/>
      <protection hidden="1"/>
    </xf>
    <xf numFmtId="0" fontId="17" fillId="151" borderId="163" xfId="30" applyNumberFormat="1" applyFont="1" applyFill="1" applyBorder="1" applyAlignment="1" applyProtection="1">
      <alignment horizontal="center"/>
      <protection hidden="1"/>
    </xf>
    <xf numFmtId="0" fontId="17" fillId="153" borderId="165" xfId="30" applyNumberFormat="1" applyFont="1" applyFill="1" applyBorder="1" applyAlignment="1" applyProtection="1">
      <alignment horizontal="center"/>
      <protection hidden="1"/>
    </xf>
    <xf numFmtId="0" fontId="17" fillId="154" borderId="166" xfId="30" applyNumberFormat="1" applyFont="1" applyFill="1" applyBorder="1" applyAlignment="1" applyProtection="1">
      <alignment horizontal="center"/>
      <protection locked="0"/>
    </xf>
    <xf numFmtId="165" fontId="17" fillId="155" borderId="167" xfId="0" applyNumberFormat="1" applyFont="1" applyFill="1" applyBorder="1" applyAlignment="1" applyProtection="1">
      <alignment horizontal="center"/>
      <protection hidden="1"/>
    </xf>
    <xf numFmtId="0" fontId="17" fillId="0" borderId="168" xfId="30" applyNumberFormat="1" applyFont="1" applyFill="1" applyBorder="1" applyAlignment="1" applyProtection="1">
      <alignment horizontal="center"/>
      <protection hidden="1"/>
    </xf>
    <xf numFmtId="0" fontId="17" fillId="150" borderId="162" xfId="30" applyNumberFormat="1" applyFont="1" applyFill="1" applyBorder="1" applyAlignment="1" applyProtection="1">
      <alignment horizontal="center"/>
      <protection hidden="1"/>
    </xf>
    <xf numFmtId="0" fontId="17" fillId="0" borderId="169" xfId="30" applyNumberFormat="1" applyFont="1" applyFill="1" applyBorder="1" applyAlignment="1" applyProtection="1">
      <alignment horizontal="center"/>
      <protection hidden="1"/>
    </xf>
    <xf numFmtId="0" fontId="103" fillId="36" borderId="35" xfId="30" applyNumberFormat="1" applyFont="1" applyFill="1" applyBorder="1" applyAlignment="1" applyProtection="1">
      <protection hidden="1"/>
    </xf>
    <xf numFmtId="0" fontId="16" fillId="36" borderId="35" xfId="17" applyNumberFormat="1" applyFont="1" applyFill="1" applyBorder="1" applyAlignment="1" applyProtection="1">
      <alignment horizontal="left"/>
      <protection hidden="1"/>
    </xf>
    <xf numFmtId="0" fontId="76" fillId="36" borderId="35" xfId="30" applyNumberFormat="1" applyFont="1" applyFill="1" applyBorder="1" applyAlignment="1" applyProtection="1">
      <alignment horizontal="center"/>
      <protection hidden="1"/>
    </xf>
    <xf numFmtId="0" fontId="17" fillId="0" borderId="0" xfId="0" applyNumberFormat="1" applyFont="1" applyFill="1" applyBorder="1" applyAlignment="1" applyProtection="1">
      <protection hidden="1"/>
    </xf>
    <xf numFmtId="0" fontId="90" fillId="36" borderId="35" xfId="30" applyNumberFormat="1" applyFont="1" applyFill="1" applyBorder="1" applyAlignment="1" applyProtection="1">
      <alignment wrapText="1"/>
      <protection hidden="1"/>
    </xf>
    <xf numFmtId="0" fontId="17" fillId="43" borderId="43" xfId="30" applyNumberFormat="1" applyFont="1" applyFill="1" applyBorder="1" applyAlignment="1" applyProtection="1">
      <alignment horizontal="left"/>
      <protection hidden="1"/>
    </xf>
    <xf numFmtId="0" fontId="24" fillId="43" borderId="43" xfId="30" applyNumberFormat="1" applyFont="1" applyFill="1" applyBorder="1" applyAlignment="1" applyProtection="1">
      <alignment horizontal="left"/>
      <protection hidden="1"/>
    </xf>
    <xf numFmtId="0" fontId="17" fillId="43" borderId="43" xfId="30" applyNumberFormat="1" applyFont="1" applyFill="1" applyBorder="1" applyAlignment="1" applyProtection="1">
      <protection hidden="1"/>
    </xf>
    <xf numFmtId="0" fontId="104" fillId="43" borderId="43" xfId="31" applyNumberFormat="1" applyFont="1" applyFill="1" applyBorder="1" applyAlignment="1" applyProtection="1">
      <alignment horizontal="left"/>
      <protection hidden="1"/>
    </xf>
    <xf numFmtId="0" fontId="20" fillId="0" borderId="0" xfId="30" applyNumberFormat="1" applyFont="1" applyFill="1" applyBorder="1" applyAlignment="1" applyProtection="1">
      <protection locked="0"/>
    </xf>
    <xf numFmtId="0" fontId="20" fillId="0" borderId="0" xfId="30" applyNumberFormat="1" applyFont="1" applyFill="1" applyBorder="1" applyAlignment="1" applyProtection="1">
      <alignment horizontal="right"/>
      <protection locked="0"/>
    </xf>
    <xf numFmtId="166" fontId="20" fillId="0" borderId="0" xfId="30" applyNumberFormat="1" applyFont="1" applyFill="1" applyBorder="1" applyAlignment="1" applyProtection="1">
      <protection locked="0"/>
    </xf>
    <xf numFmtId="164" fontId="17" fillId="36" borderId="35" xfId="13" applyNumberFormat="1" applyFont="1" applyFill="1" applyBorder="1" applyAlignment="1" applyProtection="1">
      <protection hidden="1"/>
    </xf>
    <xf numFmtId="164" fontId="17" fillId="36" borderId="35" xfId="13" applyNumberFormat="1" applyFont="1" applyFill="1" applyBorder="1" applyAlignment="1" applyProtection="1">
      <alignment vertical="center" wrapText="1"/>
      <protection hidden="1"/>
    </xf>
    <xf numFmtId="0" fontId="17" fillId="160" borderId="174" xfId="0" applyNumberFormat="1" applyFont="1" applyFill="1" applyBorder="1" applyAlignment="1" applyProtection="1">
      <alignment horizontal="center"/>
      <protection locked="0"/>
    </xf>
    <xf numFmtId="0" fontId="17" fillId="162" borderId="176" xfId="0" applyNumberFormat="1" applyFont="1" applyFill="1" applyBorder="1" applyAlignment="1" applyProtection="1">
      <alignment horizontal="center"/>
      <protection locked="0"/>
    </xf>
    <xf numFmtId="0" fontId="17" fillId="152" borderId="164" xfId="30" applyNumberFormat="1" applyFont="1" applyFill="1" applyBorder="1" applyAlignment="1" applyProtection="1">
      <alignment horizontal="center"/>
      <protection locked="0"/>
    </xf>
    <xf numFmtId="0" fontId="17" fillId="163" borderId="177" xfId="30" applyNumberFormat="1" applyFont="1" applyFill="1" applyBorder="1" applyAlignment="1" applyProtection="1">
      <alignment horizontal="center"/>
      <protection locked="0"/>
    </xf>
    <xf numFmtId="0" fontId="17" fillId="164" borderId="178" xfId="30" applyNumberFormat="1" applyFont="1" applyFill="1" applyBorder="1" applyAlignment="1" applyProtection="1">
      <alignment horizontal="center"/>
      <protection locked="0"/>
    </xf>
    <xf numFmtId="165" fontId="17" fillId="165" borderId="179" xfId="0" applyNumberFormat="1" applyFont="1" applyFill="1" applyBorder="1" applyAlignment="1" applyProtection="1">
      <alignment horizontal="center"/>
      <protection hidden="1"/>
    </xf>
    <xf numFmtId="165" fontId="17" fillId="166" borderId="180" xfId="0" applyNumberFormat="1" applyFont="1" applyFill="1" applyBorder="1" applyAlignment="1" applyProtection="1">
      <alignment horizontal="center"/>
      <protection hidden="1"/>
    </xf>
    <xf numFmtId="165" fontId="17" fillId="167" borderId="181" xfId="0" applyNumberFormat="1" applyFont="1" applyFill="1" applyBorder="1" applyAlignment="1" applyProtection="1">
      <alignment horizontal="center"/>
      <protection hidden="1"/>
    </xf>
    <xf numFmtId="165" fontId="17" fillId="168" borderId="182" xfId="0" applyNumberFormat="1" applyFont="1" applyFill="1" applyBorder="1" applyAlignment="1" applyProtection="1">
      <alignment horizontal="center"/>
      <protection hidden="1"/>
    </xf>
    <xf numFmtId="0" fontId="41" fillId="169" borderId="183" xfId="0" applyNumberFormat="1" applyFont="1" applyFill="1" applyBorder="1" applyAlignment="1" applyProtection="1">
      <protection hidden="1"/>
    </xf>
    <xf numFmtId="0" fontId="41" fillId="170" borderId="184" xfId="0" applyNumberFormat="1" applyFont="1" applyFill="1" applyBorder="1" applyAlignment="1" applyProtection="1">
      <protection hidden="1"/>
    </xf>
    <xf numFmtId="0" fontId="17" fillId="19" borderId="18" xfId="0" applyNumberFormat="1" applyFont="1" applyFill="1" applyBorder="1" applyAlignment="1" applyProtection="1">
      <protection locked="0"/>
    </xf>
    <xf numFmtId="0" fontId="17" fillId="48" borderId="51" xfId="30" applyNumberFormat="1" applyFont="1" applyFill="1" applyBorder="1" applyAlignment="1" applyProtection="1">
      <alignment wrapText="1"/>
      <protection locked="0"/>
    </xf>
    <xf numFmtId="0" fontId="17" fillId="72" borderId="79" xfId="30" applyNumberFormat="1" applyFont="1" applyFill="1" applyBorder="1" applyAlignment="1" applyProtection="1">
      <alignment horizontal="center"/>
      <protection locked="0"/>
    </xf>
    <xf numFmtId="0" fontId="17" fillId="19" borderId="18" xfId="261" applyNumberFormat="1" applyFont="1" applyFill="1" applyBorder="1" applyAlignment="1" applyProtection="1">
      <alignment horizontal="right"/>
      <protection locked="0"/>
    </xf>
    <xf numFmtId="0" fontId="107" fillId="0" borderId="0" xfId="14" applyNumberFormat="1" applyFont="1" applyFill="1" applyBorder="1" applyAlignment="1" applyProtection="1">
      <alignment horizontal="right"/>
      <protection hidden="1"/>
    </xf>
    <xf numFmtId="0" fontId="111" fillId="36" borderId="35" xfId="30" applyNumberFormat="1" applyFont="1" applyFill="1" applyBorder="1" applyAlignment="1" applyProtection="1">
      <protection hidden="1"/>
    </xf>
    <xf numFmtId="0" fontId="121" fillId="36" borderId="35" xfId="30" applyNumberFormat="1" applyFont="1" applyFill="1" applyBorder="1" applyAlignment="1" applyProtection="1">
      <protection hidden="1"/>
    </xf>
    <xf numFmtId="1" fontId="114" fillId="127" borderId="134" xfId="30" applyNumberFormat="1" applyFont="1" applyFill="1" applyBorder="1" applyAlignment="1" applyProtection="1">
      <protection hidden="1"/>
    </xf>
    <xf numFmtId="0" fontId="114" fillId="51" borderId="55" xfId="0" applyNumberFormat="1" applyFont="1" applyFill="1" applyBorder="1" applyAlignment="1" applyProtection="1">
      <protection hidden="1"/>
    </xf>
    <xf numFmtId="0" fontId="122" fillId="51" borderId="55" xfId="0" applyNumberFormat="1" applyFont="1" applyFill="1" applyBorder="1" applyAlignment="1" applyProtection="1">
      <protection hidden="1"/>
    </xf>
    <xf numFmtId="0" fontId="124" fillId="39" borderId="38" xfId="30" applyNumberFormat="1" applyFont="1" applyFill="1" applyBorder="1" applyAlignment="1" applyProtection="1">
      <alignment horizontal="center"/>
      <protection locked="0"/>
    </xf>
    <xf numFmtId="0" fontId="125" fillId="39" borderId="38" xfId="30" applyNumberFormat="1" applyFont="1" applyFill="1" applyBorder="1" applyAlignment="1" applyProtection="1">
      <alignment horizontal="center"/>
      <protection locked="0"/>
    </xf>
    <xf numFmtId="0" fontId="127" fillId="0" borderId="157" xfId="14" applyNumberFormat="1" applyFont="1" applyFill="1" applyBorder="1" applyAlignment="1" applyProtection="1">
      <alignment horizontal="left"/>
      <protection hidden="1"/>
    </xf>
    <xf numFmtId="0" fontId="129" fillId="0" borderId="73" xfId="14" applyNumberFormat="1" applyFont="1" applyFill="1" applyBorder="1" applyAlignment="1" applyProtection="1">
      <protection hidden="1"/>
    </xf>
    <xf numFmtId="0" fontId="139" fillId="36" borderId="35" xfId="30" applyNumberFormat="1" applyFont="1" applyFill="1" applyBorder="1" applyAlignment="1" applyProtection="1">
      <protection hidden="1"/>
    </xf>
    <xf numFmtId="0" fontId="142" fillId="36" borderId="35" xfId="30" applyNumberFormat="1" applyFont="1" applyFill="1" applyBorder="1" applyAlignment="1" applyProtection="1">
      <protection hidden="1"/>
    </xf>
    <xf numFmtId="0" fontId="105" fillId="36" borderId="35" xfId="18" applyNumberFormat="1" applyFont="1" applyFill="1" applyBorder="1" applyAlignment="1" applyProtection="1">
      <alignment horizontal="left"/>
      <protection hidden="1"/>
    </xf>
    <xf numFmtId="0" fontId="150" fillId="36" borderId="35" xfId="14" applyNumberFormat="1" applyFont="1" applyFill="1" applyBorder="1" applyAlignment="1" applyProtection="1">
      <protection hidden="1"/>
    </xf>
    <xf numFmtId="0" fontId="151" fillId="36" borderId="35" xfId="18" applyNumberFormat="1" applyFont="1" applyFill="1" applyBorder="1" applyAlignment="1" applyProtection="1">
      <alignment horizontal="left"/>
      <protection hidden="1"/>
    </xf>
    <xf numFmtId="2" fontId="106" fillId="36" borderId="35" xfId="18" applyNumberFormat="1" applyFont="1" applyFill="1" applyBorder="1" applyAlignment="1" applyProtection="1">
      <alignment horizontal="left"/>
      <protection hidden="1"/>
    </xf>
    <xf numFmtId="0" fontId="172" fillId="226" borderId="152" xfId="264" applyFont="1" applyFill="1" applyAlignment="1" applyProtection="1">
      <alignment horizontal="left"/>
      <protection hidden="1"/>
    </xf>
    <xf numFmtId="0" fontId="169" fillId="225" borderId="152" xfId="263" applyFont="1" applyFill="1" applyProtection="1">
      <protection hidden="1"/>
    </xf>
    <xf numFmtId="0" fontId="169" fillId="214" borderId="152" xfId="263" applyFont="1"/>
    <xf numFmtId="0" fontId="170" fillId="226" borderId="152" xfId="263" quotePrefix="1" applyFont="1" applyFill="1" applyAlignment="1" applyProtection="1">
      <alignment wrapText="1"/>
      <protection hidden="1"/>
    </xf>
    <xf numFmtId="0" fontId="170" fillId="226" borderId="152" xfId="263" applyFont="1" applyFill="1" applyAlignment="1" applyProtection="1">
      <alignment wrapText="1"/>
      <protection hidden="1"/>
    </xf>
    <xf numFmtId="0" fontId="176" fillId="225" borderId="152" xfId="263" applyFont="1" applyFill="1" applyAlignment="1" applyProtection="1">
      <alignment wrapText="1"/>
      <protection hidden="1"/>
    </xf>
    <xf numFmtId="0" fontId="176" fillId="214" borderId="152" xfId="263" applyFont="1" applyAlignment="1" applyProtection="1">
      <alignment wrapText="1"/>
      <protection hidden="1"/>
    </xf>
    <xf numFmtId="0" fontId="176" fillId="226" borderId="152" xfId="264" applyFont="1" applyFill="1" applyAlignment="1" applyProtection="1">
      <alignment wrapText="1"/>
      <protection hidden="1"/>
    </xf>
    <xf numFmtId="0" fontId="176" fillId="226" borderId="152" xfId="263" applyFont="1" applyFill="1" applyAlignment="1" applyProtection="1">
      <alignment wrapText="1"/>
      <protection hidden="1"/>
    </xf>
    <xf numFmtId="0" fontId="171" fillId="225" borderId="152" xfId="263" applyFont="1" applyFill="1" applyProtection="1">
      <protection hidden="1"/>
    </xf>
    <xf numFmtId="0" fontId="171" fillId="226" borderId="152" xfId="263" applyFont="1" applyFill="1" applyProtection="1">
      <protection hidden="1"/>
    </xf>
    <xf numFmtId="0" fontId="171" fillId="225" borderId="152" xfId="263" applyFont="1" applyFill="1" applyAlignment="1" applyProtection="1">
      <alignment horizontal="right" wrapText="1"/>
      <protection hidden="1"/>
    </xf>
    <xf numFmtId="0" fontId="171" fillId="227" borderId="139" xfId="263" applyFont="1" applyFill="1" applyBorder="1" applyProtection="1">
      <protection hidden="1"/>
    </xf>
    <xf numFmtId="9" fontId="171" fillId="228" borderId="139" xfId="263" applyNumberFormat="1" applyFont="1" applyFill="1" applyBorder="1" applyProtection="1">
      <protection hidden="1"/>
    </xf>
    <xf numFmtId="0" fontId="171" fillId="225" borderId="152" xfId="266" applyFont="1" applyFill="1" applyAlignment="1" applyProtection="1">
      <protection hidden="1"/>
    </xf>
    <xf numFmtId="0" fontId="177" fillId="225" borderId="152" xfId="265" applyFont="1" applyFill="1" applyAlignment="1" applyProtection="1">
      <alignment horizontal="right"/>
      <protection hidden="1"/>
    </xf>
    <xf numFmtId="0" fontId="179" fillId="225" borderId="152" xfId="264" applyFont="1" applyFill="1" applyAlignment="1" applyProtection="1">
      <alignment horizontal="right"/>
      <protection hidden="1"/>
    </xf>
    <xf numFmtId="0" fontId="171" fillId="225" borderId="152" xfId="264" applyFont="1" applyFill="1" applyProtection="1">
      <protection hidden="1"/>
    </xf>
    <xf numFmtId="0" fontId="180" fillId="225" borderId="152" xfId="263" applyFont="1" applyFill="1" applyAlignment="1" applyProtection="1">
      <alignment horizontal="left"/>
      <protection hidden="1"/>
    </xf>
    <xf numFmtId="0" fontId="180" fillId="225" borderId="152" xfId="263" applyFont="1" applyFill="1" applyProtection="1">
      <protection hidden="1"/>
    </xf>
    <xf numFmtId="0" fontId="171" fillId="223" borderId="150" xfId="263" applyFont="1" applyFill="1" applyBorder="1" applyAlignment="1" applyProtection="1">
      <alignment horizontal="center" wrapText="1"/>
      <protection hidden="1"/>
    </xf>
    <xf numFmtId="0" fontId="171" fillId="223" borderId="150" xfId="263" applyFont="1" applyFill="1" applyBorder="1" applyAlignment="1" applyProtection="1">
      <alignment horizontal="center"/>
      <protection hidden="1"/>
    </xf>
    <xf numFmtId="0" fontId="171" fillId="226" borderId="150" xfId="263" applyFont="1" applyFill="1" applyBorder="1" applyAlignment="1" applyProtection="1">
      <alignment horizontal="center" wrapText="1"/>
      <protection hidden="1"/>
    </xf>
    <xf numFmtId="0" fontId="171" fillId="225" borderId="150" xfId="263" applyFont="1" applyFill="1" applyBorder="1" applyAlignment="1" applyProtection="1">
      <alignment vertical="top"/>
      <protection hidden="1"/>
    </xf>
    <xf numFmtId="0" fontId="171" fillId="214" borderId="150" xfId="263" applyFont="1" applyBorder="1" applyAlignment="1" applyProtection="1">
      <alignment horizontal="center"/>
      <protection hidden="1"/>
    </xf>
    <xf numFmtId="0" fontId="180" fillId="225" borderId="150" xfId="263" applyFont="1" applyFill="1" applyBorder="1" applyAlignment="1" applyProtection="1">
      <alignment vertical="top"/>
      <protection hidden="1"/>
    </xf>
    <xf numFmtId="0" fontId="180" fillId="225" borderId="150" xfId="264" applyFont="1" applyFill="1" applyBorder="1" applyAlignment="1" applyProtection="1">
      <alignment vertical="top"/>
      <protection hidden="1"/>
    </xf>
    <xf numFmtId="0" fontId="171" fillId="214" borderId="192" xfId="263" applyFont="1" applyBorder="1" applyAlignment="1" applyProtection="1">
      <alignment horizontal="center" wrapText="1"/>
      <protection hidden="1"/>
    </xf>
    <xf numFmtId="0" fontId="171" fillId="214" borderId="192" xfId="263" applyFont="1" applyBorder="1" applyAlignment="1" applyProtection="1">
      <alignment horizontal="center"/>
      <protection hidden="1"/>
    </xf>
    <xf numFmtId="0" fontId="171" fillId="226" borderId="192" xfId="263" applyFont="1" applyFill="1" applyBorder="1" applyAlignment="1" applyProtection="1">
      <alignment horizontal="center" wrapText="1"/>
      <protection hidden="1"/>
    </xf>
    <xf numFmtId="0" fontId="183" fillId="214" borderId="192" xfId="263" applyFont="1" applyBorder="1" applyAlignment="1" applyProtection="1">
      <alignment horizontal="right" vertical="top"/>
      <protection hidden="1"/>
    </xf>
    <xf numFmtId="0" fontId="171" fillId="223" borderId="192" xfId="263" applyFont="1" applyFill="1" applyBorder="1" applyAlignment="1" applyProtection="1">
      <alignment horizontal="center"/>
      <protection hidden="1"/>
    </xf>
    <xf numFmtId="0" fontId="184" fillId="214" borderId="192" xfId="263" applyFont="1" applyBorder="1" applyAlignment="1" applyProtection="1">
      <alignment horizontal="right" vertical="top"/>
      <protection hidden="1"/>
    </xf>
    <xf numFmtId="0" fontId="184" fillId="214" borderId="237" xfId="263" applyFont="1" applyBorder="1" applyAlignment="1" applyProtection="1">
      <alignment horizontal="right" vertical="top"/>
      <protection hidden="1"/>
    </xf>
    <xf numFmtId="0" fontId="171" fillId="214" borderId="139" xfId="263" applyNumberFormat="1" applyFont="1" applyBorder="1" applyAlignment="1" applyProtection="1">
      <alignment horizontal="center"/>
      <protection hidden="1"/>
    </xf>
    <xf numFmtId="0" fontId="171" fillId="228" borderId="139" xfId="264" applyNumberFormat="1" applyFont="1" applyFill="1" applyBorder="1" applyProtection="1">
      <protection locked="0"/>
    </xf>
    <xf numFmtId="0" fontId="171" fillId="227" borderId="139" xfId="264" applyNumberFormat="1" applyFont="1" applyFill="1" applyBorder="1" applyAlignment="1" applyProtection="1">
      <alignment horizontal="center"/>
      <protection locked="0"/>
    </xf>
    <xf numFmtId="0" fontId="171" fillId="228" borderId="139" xfId="263" applyNumberFormat="1" applyFont="1" applyFill="1" applyBorder="1" applyAlignment="1" applyProtection="1">
      <alignment horizontal="center"/>
      <protection locked="0"/>
    </xf>
    <xf numFmtId="0" fontId="171" fillId="214" borderId="139" xfId="264" applyNumberFormat="1" applyFont="1" applyBorder="1" applyProtection="1">
      <protection hidden="1"/>
    </xf>
    <xf numFmtId="0" fontId="171" fillId="227" borderId="139" xfId="263" applyNumberFormat="1" applyFont="1" applyFill="1" applyBorder="1" applyAlignment="1" applyProtection="1">
      <alignment horizontal="center"/>
      <protection locked="0"/>
    </xf>
    <xf numFmtId="0" fontId="180" fillId="214" borderId="139" xfId="263" applyNumberFormat="1" applyFont="1" applyBorder="1" applyProtection="1">
      <protection locked="0"/>
    </xf>
    <xf numFmtId="0" fontId="171" fillId="228" borderId="139" xfId="263" applyNumberFormat="1" applyFont="1" applyFill="1" applyBorder="1" applyProtection="1">
      <protection locked="0"/>
    </xf>
    <xf numFmtId="0" fontId="171" fillId="230" borderId="152" xfId="263" applyFont="1" applyFill="1" applyProtection="1">
      <protection locked="0"/>
    </xf>
    <xf numFmtId="0" fontId="171" fillId="214" borderId="139" xfId="263" applyNumberFormat="1" applyFont="1" applyBorder="1" applyAlignment="1" applyProtection="1">
      <alignment horizontal="left"/>
      <protection hidden="1"/>
    </xf>
    <xf numFmtId="0" fontId="180" fillId="214" borderId="139" xfId="263" applyNumberFormat="1" applyFont="1" applyBorder="1" applyAlignment="1" applyProtection="1">
      <alignment horizontal="right"/>
      <protection hidden="1"/>
    </xf>
    <xf numFmtId="0" fontId="17" fillId="228" borderId="139" xfId="263" applyNumberFormat="1" applyFont="1" applyFill="1" applyBorder="1" applyProtection="1">
      <protection locked="0"/>
    </xf>
    <xf numFmtId="9" fontId="171" fillId="228" borderId="139" xfId="263" applyNumberFormat="1" applyFont="1" applyFill="1" applyBorder="1" applyAlignment="1" applyProtection="1">
      <alignment horizontal="center"/>
      <protection locked="0"/>
    </xf>
    <xf numFmtId="0" fontId="171" fillId="225" borderId="150" xfId="263" applyNumberFormat="1" applyFont="1" applyFill="1" applyBorder="1" applyProtection="1">
      <protection hidden="1"/>
    </xf>
    <xf numFmtId="0" fontId="171" fillId="225" borderId="139" xfId="263" applyNumberFormat="1" applyFont="1" applyFill="1" applyBorder="1" applyAlignment="1" applyProtection="1">
      <alignment horizontal="center"/>
      <protection hidden="1"/>
    </xf>
    <xf numFmtId="165" fontId="171" fillId="225" borderId="139" xfId="263" applyNumberFormat="1" applyFont="1" applyFill="1" applyBorder="1" applyAlignment="1" applyProtection="1">
      <alignment horizontal="center"/>
      <protection hidden="1"/>
    </xf>
    <xf numFmtId="0" fontId="169" fillId="225" borderId="152" xfId="263" applyNumberFormat="1" applyFont="1" applyFill="1" applyProtection="1">
      <protection hidden="1"/>
    </xf>
    <xf numFmtId="0" fontId="189" fillId="225" borderId="152" xfId="263" applyNumberFormat="1" applyFont="1" applyFill="1" applyProtection="1">
      <protection hidden="1"/>
    </xf>
    <xf numFmtId="0" fontId="190" fillId="225" borderId="152" xfId="264" applyNumberFormat="1" applyFont="1" applyFill="1" applyAlignment="1" applyProtection="1">
      <alignment vertical="center" wrapText="1"/>
      <protection hidden="1"/>
    </xf>
    <xf numFmtId="0" fontId="188" fillId="223" borderId="152" xfId="263" applyNumberFormat="1" applyFont="1" applyFill="1" applyProtection="1">
      <protection hidden="1"/>
    </xf>
    <xf numFmtId="0" fontId="17" fillId="225" borderId="139" xfId="263" applyNumberFormat="1" applyFont="1" applyFill="1" applyBorder="1" applyProtection="1">
      <protection hidden="1"/>
    </xf>
    <xf numFmtId="0" fontId="180" fillId="225" borderId="152" xfId="263" applyNumberFormat="1" applyFont="1" applyFill="1" applyAlignment="1" applyProtection="1">
      <alignment horizontal="left"/>
      <protection hidden="1"/>
    </xf>
    <xf numFmtId="0" fontId="187" fillId="225" borderId="152" xfId="264" applyNumberFormat="1" applyFont="1" applyFill="1" applyAlignment="1" applyProtection="1">
      <alignment vertical="center" wrapText="1"/>
      <protection hidden="1"/>
    </xf>
    <xf numFmtId="0" fontId="185" fillId="225" borderId="152" xfId="263" applyNumberFormat="1" applyFont="1" applyFill="1" applyAlignment="1" applyProtection="1">
      <alignment horizontal="center" vertical="top" wrapText="1"/>
      <protection hidden="1"/>
    </xf>
    <xf numFmtId="0" fontId="11" fillId="43" borderId="152" xfId="31" applyNumberFormat="1" applyFont="1" applyFill="1" applyBorder="1" applyAlignment="1" applyProtection="1">
      <protection hidden="1"/>
    </xf>
    <xf numFmtId="0" fontId="3" fillId="0" borderId="152" xfId="0" applyNumberFormat="1" applyFont="1" applyFill="1" applyBorder="1" applyAlignment="1" applyProtection="1"/>
    <xf numFmtId="0" fontId="197" fillId="4" borderId="3" xfId="30" applyNumberFormat="1" applyFont="1" applyFill="1" applyBorder="1" applyAlignment="1" applyProtection="1">
      <protection locked="0"/>
    </xf>
    <xf numFmtId="0" fontId="3" fillId="0" borderId="242" xfId="0" applyNumberFormat="1" applyFont="1" applyFill="1" applyBorder="1" applyAlignment="1" applyProtection="1">
      <protection hidden="1"/>
    </xf>
    <xf numFmtId="0" fontId="20" fillId="40" borderId="242" xfId="30" applyNumberFormat="1" applyFont="1" applyFill="1" applyBorder="1" applyAlignment="1" applyProtection="1">
      <alignment horizontal="center"/>
      <protection hidden="1"/>
    </xf>
    <xf numFmtId="0" fontId="21" fillId="0" borderId="0" xfId="30" applyNumberFormat="1" applyFont="1" applyFill="1" applyBorder="1" applyAlignment="1" applyProtection="1">
      <alignment horizontal="center"/>
      <protection hidden="1"/>
    </xf>
    <xf numFmtId="0" fontId="3" fillId="36" borderId="152" xfId="0" applyNumberFormat="1" applyFont="1" applyFill="1" applyBorder="1" applyAlignment="1" applyProtection="1">
      <protection hidden="1"/>
    </xf>
    <xf numFmtId="0" fontId="21" fillId="36" borderId="152" xfId="30" applyNumberFormat="1" applyFont="1" applyFill="1" applyBorder="1" applyAlignment="1" applyProtection="1">
      <alignment horizontal="center"/>
      <protection hidden="1"/>
    </xf>
    <xf numFmtId="0" fontId="45" fillId="0" borderId="152" xfId="30" applyNumberFormat="1" applyFont="1" applyFill="1" applyBorder="1" applyAlignment="1" applyProtection="1">
      <protection locked="0"/>
    </xf>
    <xf numFmtId="0" fontId="20" fillId="0" borderId="152" xfId="30" applyNumberFormat="1" applyFont="1" applyFill="1" applyBorder="1" applyAlignment="1" applyProtection="1">
      <protection locked="0"/>
    </xf>
    <xf numFmtId="0" fontId="20" fillId="0" borderId="152" xfId="30" applyNumberFormat="1" applyFont="1" applyFill="1" applyBorder="1" applyAlignment="1" applyProtection="1">
      <alignment horizontal="right"/>
      <protection locked="0"/>
    </xf>
    <xf numFmtId="166" fontId="20" fillId="0" borderId="152" xfId="30" applyNumberFormat="1" applyFont="1" applyFill="1" applyBorder="1" applyAlignment="1" applyProtection="1">
      <protection locked="0"/>
    </xf>
    <xf numFmtId="165" fontId="20" fillId="0" borderId="152" xfId="30" applyNumberFormat="1" applyFont="1" applyFill="1" applyBorder="1" applyAlignment="1" applyProtection="1">
      <protection hidden="1"/>
    </xf>
    <xf numFmtId="166" fontId="20" fillId="0" borderId="152" xfId="30" applyNumberFormat="1" applyFont="1" applyFill="1" applyBorder="1" applyAlignment="1" applyProtection="1">
      <protection hidden="1"/>
    </xf>
    <xf numFmtId="2" fontId="20" fillId="0" borderId="152" xfId="30" applyNumberFormat="1" applyFont="1" applyFill="1" applyBorder="1" applyAlignment="1" applyProtection="1">
      <protection hidden="1"/>
    </xf>
    <xf numFmtId="0" fontId="20" fillId="0" borderId="152" xfId="30" applyNumberFormat="1" applyFont="1" applyFill="1" applyBorder="1" applyAlignment="1" applyProtection="1">
      <protection hidden="1"/>
    </xf>
    <xf numFmtId="0" fontId="20" fillId="0" borderId="152" xfId="30" applyNumberFormat="1" applyFont="1" applyFill="1" applyBorder="1" applyAlignment="1" applyProtection="1"/>
    <xf numFmtId="2" fontId="24" fillId="44" borderId="152" xfId="30" applyNumberFormat="1" applyFont="1" applyFill="1" applyBorder="1" applyAlignment="1" applyProtection="1">
      <alignment horizontal="center" vertical="center" textRotation="90" wrapText="1"/>
      <protection hidden="1"/>
    </xf>
    <xf numFmtId="0" fontId="23" fillId="36" borderId="152" xfId="30" applyNumberFormat="1" applyFont="1" applyFill="1" applyBorder="1" applyAlignment="1" applyProtection="1">
      <alignment horizontal="center" vertical="center" textRotation="90" wrapText="1"/>
      <protection hidden="1"/>
    </xf>
    <xf numFmtId="173" fontId="21" fillId="208" borderId="104" xfId="30" applyNumberFormat="1" applyFont="1" applyFill="1" applyBorder="1" applyAlignment="1" applyProtection="1">
      <alignment horizontal="center"/>
      <protection locked="0"/>
    </xf>
    <xf numFmtId="2" fontId="20" fillId="36" borderId="35" xfId="30" applyNumberFormat="1" applyFont="1" applyFill="1" applyBorder="1" applyAlignment="1" applyProtection="1">
      <alignment horizontal="right"/>
      <protection hidden="1"/>
    </xf>
    <xf numFmtId="0" fontId="17" fillId="0" borderId="226" xfId="0" applyNumberFormat="1" applyFont="1" applyFill="1" applyBorder="1" applyAlignment="1" applyProtection="1">
      <alignment horizontal="center"/>
      <protection hidden="1"/>
    </xf>
    <xf numFmtId="0" fontId="21" fillId="36" borderId="152" xfId="30" applyNumberFormat="1" applyFont="1" applyFill="1" applyBorder="1" applyAlignment="1" applyProtection="1">
      <alignment horizontal="left" vertical="top" wrapText="1"/>
      <protection hidden="1"/>
    </xf>
    <xf numFmtId="0" fontId="16" fillId="36" borderId="35" xfId="17" applyNumberFormat="1" applyFont="1" applyFill="1" applyBorder="1" applyAlignment="1" applyProtection="1">
      <protection hidden="1"/>
    </xf>
    <xf numFmtId="0" fontId="17" fillId="36" borderId="35" xfId="0" applyNumberFormat="1" applyFont="1" applyFill="1" applyBorder="1" applyAlignment="1" applyProtection="1">
      <alignment vertical="top" wrapText="1"/>
      <protection hidden="1"/>
    </xf>
    <xf numFmtId="0" fontId="28" fillId="36" borderId="152" xfId="30" applyNumberFormat="1" applyFont="1" applyFill="1" applyBorder="1" applyAlignment="1" applyProtection="1">
      <protection hidden="1"/>
    </xf>
    <xf numFmtId="0" fontId="81" fillId="43" borderId="43" xfId="30" applyNumberFormat="1" applyFont="1" applyFill="1" applyBorder="1" applyAlignment="1" applyProtection="1">
      <alignment horizontal="right"/>
      <protection hidden="1"/>
    </xf>
    <xf numFmtId="0" fontId="21" fillId="36" borderId="35" xfId="30" applyNumberFormat="1" applyFont="1" applyFill="1" applyBorder="1" applyAlignment="1" applyProtection="1">
      <alignment horizontal="center"/>
      <protection hidden="1"/>
    </xf>
    <xf numFmtId="0" fontId="3" fillId="36" borderId="35" xfId="30" applyNumberFormat="1" applyFont="1" applyFill="1" applyBorder="1" applyAlignment="1" applyProtection="1">
      <protection hidden="1"/>
    </xf>
    <xf numFmtId="0" fontId="90" fillId="36" borderId="152" xfId="30" applyNumberFormat="1" applyFont="1" applyFill="1" applyBorder="1" applyAlignment="1" applyProtection="1">
      <alignment vertical="center" wrapText="1"/>
      <protection hidden="1"/>
    </xf>
    <xf numFmtId="0" fontId="3" fillId="36" borderId="152" xfId="30" applyNumberFormat="1" applyFont="1" applyFill="1" applyBorder="1" applyAlignment="1" applyProtection="1">
      <protection hidden="1"/>
    </xf>
    <xf numFmtId="0" fontId="17" fillId="36" borderId="152" xfId="30" applyNumberFormat="1" applyFont="1" applyFill="1" applyBorder="1" applyAlignment="1" applyProtection="1">
      <protection hidden="1"/>
    </xf>
    <xf numFmtId="0" fontId="17" fillId="36" borderId="152" xfId="0" applyNumberFormat="1" applyFont="1" applyFill="1" applyBorder="1" applyAlignment="1" applyProtection="1">
      <protection hidden="1"/>
    </xf>
    <xf numFmtId="0" fontId="17" fillId="60" borderId="237" xfId="30" applyNumberFormat="1" applyFont="1" applyFill="1" applyBorder="1" applyAlignment="1" applyProtection="1">
      <alignment horizontal="center"/>
      <protection locked="0"/>
    </xf>
    <xf numFmtId="0" fontId="17" fillId="0" borderId="212" xfId="0" applyNumberFormat="1" applyFont="1" applyFill="1" applyBorder="1" applyAlignment="1" applyProtection="1">
      <protection hidden="1"/>
    </xf>
    <xf numFmtId="0" fontId="201" fillId="0" borderId="210" xfId="30" applyNumberFormat="1" applyFont="1" applyFill="1" applyBorder="1" applyAlignment="1" applyProtection="1">
      <protection hidden="1"/>
    </xf>
    <xf numFmtId="0" fontId="17" fillId="233" borderId="152" xfId="30" applyNumberFormat="1" applyFont="1" applyFill="1" applyBorder="1" applyAlignment="1" applyProtection="1">
      <protection hidden="1"/>
    </xf>
    <xf numFmtId="0" fontId="201" fillId="223" borderId="202" xfId="0" applyNumberFormat="1" applyFont="1" applyFill="1" applyBorder="1" applyAlignment="1" applyProtection="1">
      <alignment horizontal="center"/>
      <protection hidden="1"/>
    </xf>
    <xf numFmtId="0" fontId="17" fillId="233" borderId="35" xfId="30" applyNumberFormat="1" applyFont="1" applyFill="1" applyBorder="1" applyAlignment="1" applyProtection="1">
      <protection hidden="1"/>
    </xf>
    <xf numFmtId="0" fontId="202" fillId="233" borderId="247" xfId="29" applyNumberFormat="1" applyFont="1" applyFill="1" applyBorder="1" applyAlignment="1" applyProtection="1">
      <alignment horizontal="center"/>
      <protection hidden="1"/>
    </xf>
    <xf numFmtId="166" fontId="202" fillId="233" borderId="247" xfId="29" applyNumberFormat="1" applyFont="1" applyFill="1" applyBorder="1" applyAlignment="1" applyProtection="1">
      <alignment horizontal="center"/>
      <protection hidden="1"/>
    </xf>
    <xf numFmtId="0" fontId="20" fillId="14" borderId="13" xfId="30" applyNumberFormat="1" applyFont="1" applyFill="1" applyBorder="1" applyAlignment="1" applyProtection="1">
      <alignment horizontal="right"/>
      <protection locked="0"/>
    </xf>
    <xf numFmtId="0" fontId="3" fillId="0" borderId="0" xfId="0" applyNumberFormat="1" applyFont="1" applyFill="1" applyBorder="1" applyAlignment="1" applyProtection="1">
      <alignment horizontal="right"/>
    </xf>
    <xf numFmtId="0" fontId="17" fillId="0" borderId="0" xfId="28" applyNumberFormat="1" applyFont="1" applyFill="1" applyBorder="1" applyAlignment="1" applyProtection="1">
      <alignment horizontal="right"/>
      <protection locked="0"/>
    </xf>
    <xf numFmtId="0" fontId="46" fillId="0" borderId="0" xfId="30" applyNumberFormat="1" applyFont="1" applyFill="1" applyBorder="1" applyAlignment="1" applyProtection="1">
      <alignment horizontal="right" wrapText="1"/>
      <protection hidden="1"/>
    </xf>
    <xf numFmtId="0" fontId="46" fillId="0" borderId="0" xfId="30" applyNumberFormat="1" applyFont="1" applyFill="1" applyBorder="1" applyAlignment="1" applyProtection="1">
      <alignment horizontal="right"/>
      <protection locked="0"/>
    </xf>
    <xf numFmtId="0" fontId="17" fillId="0" borderId="152" xfId="28" applyNumberFormat="1" applyFont="1" applyFill="1" applyBorder="1" applyAlignment="1" applyProtection="1">
      <alignment horizontal="right"/>
      <protection locked="0"/>
    </xf>
    <xf numFmtId="0" fontId="3" fillId="0" borderId="251" xfId="0" applyNumberFormat="1" applyFont="1" applyFill="1" applyBorder="1" applyAlignment="1" applyProtection="1">
      <protection hidden="1"/>
    </xf>
    <xf numFmtId="0" fontId="20" fillId="40" borderId="251" xfId="30" applyNumberFormat="1" applyFont="1" applyFill="1" applyBorder="1" applyAlignment="1" applyProtection="1">
      <alignment horizontal="center"/>
      <protection hidden="1"/>
    </xf>
    <xf numFmtId="0" fontId="3" fillId="223" borderId="152" xfId="267" applyFont="1" applyFill="1"/>
    <xf numFmtId="0" fontId="45" fillId="88" borderId="95" xfId="30" applyNumberFormat="1" applyFont="1" applyFill="1" applyBorder="1" applyAlignment="1" applyProtection="1">
      <alignment horizontal="right"/>
      <protection hidden="1"/>
    </xf>
    <xf numFmtId="0" fontId="45" fillId="59" borderId="63" xfId="30" applyNumberFormat="1" applyFont="1" applyFill="1" applyBorder="1" applyAlignment="1" applyProtection="1">
      <alignment horizontal="right"/>
      <protection hidden="1"/>
    </xf>
    <xf numFmtId="165" fontId="45" fillId="59" borderId="63" xfId="30" applyNumberFormat="1" applyFont="1" applyFill="1" applyBorder="1" applyAlignment="1" applyProtection="1">
      <alignment horizontal="right"/>
      <protection hidden="1"/>
    </xf>
    <xf numFmtId="0" fontId="64" fillId="220" borderId="152" xfId="267" applyFont="1" applyFill="1" applyProtection="1">
      <protection locked="0"/>
    </xf>
    <xf numFmtId="0" fontId="169" fillId="214" borderId="152" xfId="263" applyFont="1"/>
    <xf numFmtId="0" fontId="11" fillId="233" borderId="43" xfId="0" applyNumberFormat="1" applyFont="1" applyFill="1" applyBorder="1" applyAlignment="1" applyProtection="1">
      <alignment horizontal="left"/>
      <protection hidden="1"/>
    </xf>
    <xf numFmtId="165" fontId="83" fillId="41" borderId="41" xfId="33" applyNumberFormat="1" applyFont="1" applyFill="1" applyBorder="1" applyAlignment="1" applyProtection="1">
      <alignment horizontal="center" wrapText="1"/>
      <protection hidden="1"/>
    </xf>
    <xf numFmtId="165" fontId="83" fillId="42" borderId="42" xfId="33" applyNumberFormat="1" applyFont="1" applyFill="1" applyBorder="1" applyAlignment="1" applyProtection="1">
      <alignment horizontal="center" vertical="top" wrapText="1"/>
      <protection hidden="1"/>
    </xf>
    <xf numFmtId="0" fontId="17" fillId="36" borderId="152" xfId="16" applyNumberFormat="1" applyFont="1" applyFill="1" applyBorder="1" applyAlignment="1" applyProtection="1">
      <alignment horizontal="center" vertical="top" wrapText="1"/>
      <protection hidden="1"/>
    </xf>
    <xf numFmtId="0" fontId="29" fillId="36" borderId="152" xfId="16" applyNumberFormat="1" applyFont="1" applyFill="1" applyBorder="1" applyAlignment="1" applyProtection="1">
      <alignment horizontal="center" wrapText="1"/>
      <protection hidden="1"/>
    </xf>
    <xf numFmtId="0" fontId="17" fillId="36" borderId="152" xfId="16" applyNumberFormat="1" applyFont="1" applyFill="1" applyBorder="1" applyAlignment="1" applyProtection="1">
      <alignment vertical="top" wrapText="1"/>
      <protection hidden="1"/>
    </xf>
    <xf numFmtId="0" fontId="15" fillId="36" borderId="152" xfId="30" applyNumberFormat="1" applyFont="1" applyFill="1" applyBorder="1" applyAlignment="1" applyProtection="1">
      <alignment horizontal="right"/>
      <protection hidden="1"/>
    </xf>
    <xf numFmtId="0" fontId="16" fillId="36" borderId="152" xfId="14" applyNumberFormat="1" applyFont="1" applyFill="1" applyBorder="1" applyAlignment="1" applyProtection="1">
      <alignment horizontal="left"/>
      <protection hidden="1"/>
    </xf>
    <xf numFmtId="0" fontId="15" fillId="36" borderId="35" xfId="30" applyNumberFormat="1" applyFont="1" applyFill="1" applyBorder="1" applyAlignment="1" applyProtection="1">
      <protection hidden="1"/>
    </xf>
    <xf numFmtId="0" fontId="43" fillId="223" borderId="248" xfId="14" applyFont="1" applyFill="1" applyBorder="1" applyAlignment="1" applyProtection="1">
      <alignment horizontal="left"/>
      <protection hidden="1"/>
    </xf>
    <xf numFmtId="0" fontId="43" fillId="223" borderId="249" xfId="14" applyFont="1" applyFill="1" applyBorder="1" applyAlignment="1" applyProtection="1">
      <alignment horizontal="left"/>
      <protection hidden="1"/>
    </xf>
    <xf numFmtId="0" fontId="43" fillId="223" borderId="154" xfId="14" applyFont="1" applyFill="1" applyBorder="1" applyAlignment="1" applyProtection="1">
      <alignment horizontal="left"/>
      <protection hidden="1"/>
    </xf>
    <xf numFmtId="0" fontId="172" fillId="226" borderId="152" xfId="264" applyFont="1" applyFill="1" applyAlignment="1" applyProtection="1">
      <alignment horizontal="center"/>
      <protection hidden="1"/>
    </xf>
    <xf numFmtId="0" fontId="171" fillId="226" borderId="152" xfId="263" applyFont="1" applyFill="1" applyAlignment="1" applyProtection="1">
      <alignment horizontal="center"/>
      <protection hidden="1"/>
    </xf>
    <xf numFmtId="0" fontId="171" fillId="225" borderId="152" xfId="263" applyFont="1" applyFill="1" applyAlignment="1" applyProtection="1">
      <alignment horizontal="center"/>
      <protection hidden="1"/>
    </xf>
    <xf numFmtId="0" fontId="180" fillId="225" borderId="152" xfId="263" applyFont="1" applyFill="1" applyAlignment="1" applyProtection="1">
      <alignment horizontal="center"/>
      <protection hidden="1"/>
    </xf>
    <xf numFmtId="0" fontId="180" fillId="225" borderId="152" xfId="263" applyNumberFormat="1" applyFont="1" applyFill="1" applyAlignment="1" applyProtection="1">
      <alignment horizontal="center"/>
      <protection hidden="1"/>
    </xf>
    <xf numFmtId="0" fontId="169" fillId="214" borderId="152" xfId="263" applyFont="1" applyAlignment="1">
      <alignment horizontal="center"/>
    </xf>
    <xf numFmtId="0" fontId="190" fillId="225" borderId="208" xfId="264" applyNumberFormat="1" applyFont="1" applyFill="1" applyBorder="1" applyAlignment="1" applyProtection="1">
      <alignment wrapText="1"/>
      <protection hidden="1"/>
    </xf>
    <xf numFmtId="0" fontId="207" fillId="223" borderId="152" xfId="263" applyNumberFormat="1" applyFont="1" applyFill="1" applyAlignment="1" applyProtection="1">
      <alignment horizontal="center"/>
      <protection hidden="1"/>
    </xf>
    <xf numFmtId="0" fontId="208" fillId="225" borderId="152" xfId="263" applyNumberFormat="1" applyFont="1" applyFill="1" applyAlignment="1" applyProtection="1">
      <alignment vertical="top" wrapText="1"/>
      <protection hidden="1"/>
    </xf>
    <xf numFmtId="0" fontId="206" fillId="225" borderId="152" xfId="263" applyNumberFormat="1" applyFont="1" applyFill="1" applyProtection="1">
      <protection hidden="1"/>
    </xf>
    <xf numFmtId="0" fontId="209" fillId="225" borderId="152" xfId="264" applyNumberFormat="1" applyFont="1" applyFill="1" applyAlignment="1" applyProtection="1">
      <alignment vertical="center" wrapText="1"/>
      <protection hidden="1"/>
    </xf>
    <xf numFmtId="0" fontId="188" fillId="225" borderId="139" xfId="263" applyNumberFormat="1" applyFont="1" applyFill="1" applyBorder="1" applyProtection="1">
      <protection hidden="1"/>
    </xf>
    <xf numFmtId="0" fontId="3" fillId="214" borderId="152" xfId="271" applyNumberFormat="1" applyFont="1" applyFill="1" applyBorder="1" applyAlignment="1" applyProtection="1"/>
    <xf numFmtId="0" fontId="7" fillId="214" borderId="152" xfId="269" applyNumberFormat="1" applyFont="1" applyFill="1" applyBorder="1" applyAlignment="1" applyProtection="1"/>
    <xf numFmtId="0" fontId="3" fillId="214" borderId="152" xfId="269" applyNumberFormat="1" applyFont="1" applyFill="1" applyBorder="1" applyAlignment="1" applyProtection="1"/>
    <xf numFmtId="0" fontId="17" fillId="233" borderId="35" xfId="30" applyNumberFormat="1" applyFont="1" applyFill="1" applyBorder="1" applyAlignment="1" applyProtection="1">
      <alignment horizontal="right"/>
      <protection hidden="1"/>
    </xf>
    <xf numFmtId="165" fontId="17" fillId="233" borderId="35" xfId="30" applyNumberFormat="1" applyFont="1" applyFill="1" applyBorder="1" applyAlignment="1" applyProtection="1">
      <alignment horizontal="right"/>
      <protection hidden="1"/>
    </xf>
    <xf numFmtId="0" fontId="21" fillId="36" borderId="152" xfId="30" applyNumberFormat="1" applyFont="1" applyFill="1" applyBorder="1" applyAlignment="1" applyProtection="1">
      <alignment vertical="center"/>
      <protection hidden="1"/>
    </xf>
    <xf numFmtId="0" fontId="8" fillId="36" borderId="152" xfId="30" applyNumberFormat="1" applyFont="1" applyFill="1" applyBorder="1" applyAlignment="1" applyProtection="1">
      <alignment horizontal="right"/>
      <protection hidden="1"/>
    </xf>
    <xf numFmtId="0" fontId="39" fillId="44" borderId="152" xfId="30" applyNumberFormat="1" applyFont="1" applyFill="1" applyBorder="1" applyAlignment="1" applyProtection="1">
      <alignment horizontal="center" vertical="center" wrapText="1"/>
      <protection hidden="1"/>
    </xf>
    <xf numFmtId="0" fontId="39" fillId="36" borderId="152" xfId="30" applyNumberFormat="1" applyFont="1" applyFill="1" applyBorder="1" applyAlignment="1" applyProtection="1">
      <alignment horizontal="center" vertical="center" wrapText="1"/>
      <protection hidden="1"/>
    </xf>
    <xf numFmtId="0" fontId="17" fillId="223" borderId="152" xfId="30" applyNumberFormat="1" applyFont="1" applyFill="1" applyBorder="1" applyAlignment="1" applyProtection="1">
      <alignment horizontal="center"/>
      <protection locked="0"/>
    </xf>
    <xf numFmtId="0" fontId="17" fillId="44" borderId="202" xfId="0" applyNumberFormat="1" applyFont="1" applyFill="1" applyBorder="1" applyAlignment="1" applyProtection="1">
      <alignment vertical="top" wrapText="1"/>
      <protection hidden="1"/>
    </xf>
    <xf numFmtId="0" fontId="17" fillId="44" borderId="152" xfId="0" applyNumberFormat="1" applyFont="1" applyFill="1" applyBorder="1" applyAlignment="1" applyProtection="1">
      <alignment vertical="top" wrapText="1"/>
      <protection hidden="1"/>
    </xf>
    <xf numFmtId="2" fontId="171" fillId="226" borderId="139" xfId="259" applyNumberFormat="1" applyFont="1" applyFill="1" applyBorder="1" applyAlignment="1" applyProtection="1">
      <alignment horizontal="center"/>
      <protection hidden="1"/>
    </xf>
    <xf numFmtId="0" fontId="98" fillId="36" borderId="35" xfId="66" applyNumberFormat="1" applyFont="1" applyFill="1" applyBorder="1" applyAlignment="1" applyProtection="1">
      <alignment horizontal="left" vertical="top" wrapText="1"/>
      <protection hidden="1"/>
    </xf>
    <xf numFmtId="0" fontId="17" fillId="61" borderId="226" xfId="0" applyNumberFormat="1" applyFont="1" applyFill="1" applyBorder="1" applyAlignment="1" applyProtection="1">
      <alignment horizontal="center" vertical="center" wrapText="1"/>
      <protection hidden="1"/>
    </xf>
    <xf numFmtId="0" fontId="3" fillId="0" borderId="152" xfId="0" applyNumberFormat="1" applyFont="1" applyFill="1" applyBorder="1" applyAlignment="1" applyProtection="1"/>
    <xf numFmtId="164" fontId="17" fillId="36" borderId="35" xfId="13" applyNumberFormat="1" applyFont="1" applyFill="1" applyBorder="1" applyAlignment="1" applyProtection="1">
      <alignment horizontal="center"/>
      <protection hidden="1"/>
    </xf>
    <xf numFmtId="0" fontId="24" fillId="36" borderId="152" xfId="30" applyNumberFormat="1" applyFont="1" applyFill="1" applyBorder="1" applyAlignment="1" applyProtection="1">
      <protection hidden="1"/>
    </xf>
    <xf numFmtId="0" fontId="171" fillId="223" borderId="152" xfId="264" applyFill="1" applyProtection="1">
      <protection hidden="1"/>
    </xf>
    <xf numFmtId="0" fontId="169" fillId="231" borderId="152" xfId="264" applyFont="1" applyFill="1" applyProtection="1">
      <protection hidden="1"/>
    </xf>
    <xf numFmtId="0" fontId="171" fillId="227" borderId="139" xfId="0" applyNumberFormat="1" applyFont="1" applyFill="1" applyBorder="1" applyAlignment="1" applyProtection="1">
      <alignment horizontal="center"/>
      <protection locked="0"/>
    </xf>
    <xf numFmtId="0" fontId="197" fillId="227" borderId="139" xfId="0" applyNumberFormat="1" applyFont="1" applyFill="1" applyBorder="1" applyAlignment="1" applyProtection="1">
      <alignment horizontal="center"/>
      <protection locked="0"/>
    </xf>
    <xf numFmtId="0" fontId="171" fillId="236" borderId="150" xfId="264" applyFill="1" applyBorder="1" applyAlignment="1" applyProtection="1">
      <alignment horizontal="center"/>
      <protection locked="0"/>
    </xf>
    <xf numFmtId="0" fontId="17" fillId="237" borderId="252" xfId="27" applyNumberFormat="1" applyFont="1" applyFill="1" applyBorder="1" applyAlignment="1" applyProtection="1">
      <alignment horizontal="center"/>
      <protection locked="0"/>
    </xf>
    <xf numFmtId="0" fontId="197" fillId="227" borderId="252" xfId="0" applyNumberFormat="1" applyFont="1" applyFill="1" applyBorder="1" applyAlignment="1" applyProtection="1">
      <alignment horizontal="center"/>
      <protection locked="0"/>
    </xf>
    <xf numFmtId="0" fontId="171" fillId="236" borderId="192" xfId="264" applyFill="1" applyBorder="1" applyAlignment="1" applyProtection="1">
      <alignment horizontal="center"/>
      <protection locked="0"/>
    </xf>
    <xf numFmtId="0" fontId="171" fillId="227" borderId="255" xfId="0" applyNumberFormat="1" applyFont="1" applyFill="1" applyBorder="1" applyAlignment="1" applyProtection="1">
      <alignment horizontal="center"/>
      <protection locked="0"/>
    </xf>
    <xf numFmtId="0" fontId="197" fillId="227" borderId="255" xfId="0" applyNumberFormat="1" applyFont="1" applyFill="1" applyBorder="1" applyAlignment="1" applyProtection="1">
      <alignment horizontal="center"/>
      <protection locked="0"/>
    </xf>
    <xf numFmtId="165" fontId="171" fillId="0" borderId="258" xfId="0" applyNumberFormat="1" applyFont="1" applyBorder="1" applyAlignment="1" applyProtection="1">
      <alignment horizontal="center"/>
      <protection hidden="1"/>
    </xf>
    <xf numFmtId="165" fontId="197" fillId="223" borderId="258" xfId="0" applyNumberFormat="1" applyFont="1" applyFill="1" applyBorder="1" applyAlignment="1" applyProtection="1">
      <alignment horizontal="center"/>
      <protection hidden="1"/>
    </xf>
    <xf numFmtId="0" fontId="171" fillId="231" borderId="152" xfId="264" applyFill="1" applyProtection="1">
      <protection hidden="1"/>
    </xf>
    <xf numFmtId="9" fontId="171" fillId="231" borderId="152" xfId="35" applyFont="1" applyFill="1" applyBorder="1" applyAlignment="1" applyProtection="1">
      <alignment vertical="top" wrapText="1"/>
      <protection hidden="1"/>
    </xf>
    <xf numFmtId="0" fontId="6" fillId="233" borderId="35" xfId="31" applyNumberFormat="1" applyFont="1" applyFill="1" applyBorder="1" applyAlignment="1" applyProtection="1">
      <alignment horizontal="left"/>
      <protection hidden="1"/>
    </xf>
    <xf numFmtId="0" fontId="3" fillId="214" borderId="152" xfId="274" applyFont="1"/>
    <xf numFmtId="0" fontId="5" fillId="220" borderId="152" xfId="275" applyFill="1" applyProtection="1">
      <protection hidden="1"/>
    </xf>
    <xf numFmtId="0" fontId="5" fillId="214" borderId="152" xfId="275"/>
    <xf numFmtId="0" fontId="183" fillId="223" borderId="152" xfId="266" applyFont="1" applyFill="1" applyBorder="1" applyAlignment="1" applyProtection="1">
      <alignment vertical="top" wrapText="1"/>
      <protection hidden="1"/>
    </xf>
    <xf numFmtId="2" fontId="171" fillId="231" borderId="192" xfId="264" applyNumberFormat="1" applyFill="1" applyBorder="1" applyAlignment="1" applyProtection="1">
      <alignment horizontal="center"/>
      <protection hidden="1"/>
    </xf>
    <xf numFmtId="2" fontId="171" fillId="0" borderId="139" xfId="0" applyNumberFormat="1" applyFont="1" applyBorder="1" applyAlignment="1" applyProtection="1">
      <alignment horizontal="center"/>
      <protection hidden="1"/>
    </xf>
    <xf numFmtId="2" fontId="89" fillId="0" borderId="117" xfId="0" applyNumberFormat="1" applyFont="1" applyFill="1" applyBorder="1" applyAlignment="1" applyProtection="1">
      <alignment horizontal="center"/>
      <protection hidden="1"/>
    </xf>
    <xf numFmtId="0" fontId="17" fillId="227" borderId="210" xfId="0" applyFont="1" applyFill="1" applyBorder="1" applyAlignment="1" applyProtection="1">
      <alignment horizontal="center"/>
      <protection locked="0"/>
    </xf>
    <xf numFmtId="9" fontId="171" fillId="231" borderId="202" xfId="35" applyFont="1" applyFill="1" applyBorder="1" applyAlignment="1" applyProtection="1">
      <alignment vertical="center" wrapText="1"/>
      <protection hidden="1"/>
    </xf>
    <xf numFmtId="9" fontId="171" fillId="231" borderId="152" xfId="35" applyFont="1" applyFill="1" applyBorder="1" applyAlignment="1" applyProtection="1">
      <alignment vertical="center" wrapText="1"/>
      <protection hidden="1"/>
    </xf>
    <xf numFmtId="9" fontId="171" fillId="231" borderId="210" xfId="35" applyFont="1" applyFill="1" applyBorder="1" applyAlignment="1" applyProtection="1">
      <alignment vertical="center" wrapText="1"/>
      <protection hidden="1"/>
    </xf>
    <xf numFmtId="0" fontId="17" fillId="223" borderId="210" xfId="266" applyFont="1" applyFill="1" applyBorder="1" applyAlignment="1" applyProtection="1">
      <alignment vertical="center" wrapText="1"/>
      <protection hidden="1"/>
    </xf>
    <xf numFmtId="0" fontId="12" fillId="223" borderId="202" xfId="264" applyFont="1" applyFill="1" applyBorder="1" applyAlignment="1" applyProtection="1">
      <alignment vertical="center" wrapText="1"/>
      <protection hidden="1"/>
    </xf>
    <xf numFmtId="0" fontId="24" fillId="36" borderId="35" xfId="30" applyNumberFormat="1" applyFont="1" applyFill="1" applyBorder="1" applyAlignment="1" applyProtection="1">
      <alignment horizontal="center" vertical="center"/>
      <protection hidden="1"/>
    </xf>
    <xf numFmtId="0" fontId="169" fillId="231" borderId="152" xfId="264" applyFont="1" applyFill="1" applyAlignment="1" applyProtection="1">
      <alignment vertical="center"/>
      <protection hidden="1"/>
    </xf>
    <xf numFmtId="0" fontId="171" fillId="223" borderId="152" xfId="264" applyFill="1" applyAlignment="1" applyProtection="1">
      <alignment horizontal="center"/>
      <protection hidden="1"/>
    </xf>
    <xf numFmtId="165" fontId="197" fillId="226" borderId="258" xfId="0" applyNumberFormat="1" applyFont="1" applyFill="1" applyBorder="1" applyAlignment="1" applyProtection="1">
      <alignment horizontal="center"/>
      <protection hidden="1"/>
    </xf>
    <xf numFmtId="0" fontId="171" fillId="225" borderId="139" xfId="0" applyFont="1" applyFill="1" applyBorder="1" applyAlignment="1" applyProtection="1">
      <alignment horizontal="center"/>
      <protection hidden="1"/>
    </xf>
    <xf numFmtId="0" fontId="171" fillId="0" borderId="139" xfId="0" applyFont="1" applyBorder="1" applyAlignment="1" applyProtection="1">
      <alignment horizontal="center"/>
      <protection hidden="1"/>
    </xf>
    <xf numFmtId="0" fontId="42" fillId="36" borderId="35" xfId="0" applyNumberFormat="1" applyFont="1" applyFill="1" applyBorder="1" applyAlignment="1" applyProtection="1">
      <alignment horizontal="center" vertical="top"/>
      <protection hidden="1"/>
    </xf>
    <xf numFmtId="0" fontId="17" fillId="220" borderId="150" xfId="258" applyNumberFormat="1" applyFont="1" applyFill="1" applyBorder="1" applyAlignment="1" applyProtection="1">
      <protection hidden="1"/>
    </xf>
    <xf numFmtId="0" fontId="17" fillId="220" borderId="226" xfId="258" applyNumberFormat="1" applyFont="1" applyFill="1" applyBorder="1" applyAlignment="1" applyProtection="1">
      <protection hidden="1"/>
    </xf>
    <xf numFmtId="0" fontId="17" fillId="220" borderId="226" xfId="258" applyNumberFormat="1" applyFont="1" applyFill="1" applyBorder="1" applyAlignment="1" applyProtection="1">
      <alignment horizontal="left"/>
      <protection hidden="1"/>
    </xf>
    <xf numFmtId="49" fontId="17" fillId="220" borderId="226" xfId="258" applyNumberFormat="1" applyFont="1" applyFill="1" applyBorder="1" applyAlignment="1" applyProtection="1">
      <protection hidden="1"/>
    </xf>
    <xf numFmtId="49" fontId="17" fillId="220" borderId="226" xfId="258" applyNumberFormat="1" applyFont="1" applyFill="1" applyBorder="1" applyAlignment="1" applyProtection="1">
      <alignment horizontal="left"/>
      <protection hidden="1"/>
    </xf>
    <xf numFmtId="0" fontId="4" fillId="220" borderId="226" xfId="258" applyNumberFormat="1" applyFont="1" applyFill="1" applyBorder="1" applyAlignment="1" applyProtection="1">
      <alignment horizontal="left"/>
      <protection hidden="1"/>
    </xf>
    <xf numFmtId="0" fontId="4" fillId="220" borderId="192" xfId="258" applyNumberFormat="1" applyFont="1" applyFill="1" applyBorder="1" applyAlignment="1" applyProtection="1">
      <protection hidden="1"/>
    </xf>
    <xf numFmtId="0" fontId="216" fillId="0" borderId="261" xfId="0" applyNumberFormat="1" applyFont="1" applyBorder="1" applyAlignment="1" applyProtection="1">
      <alignment horizontal="center"/>
      <protection hidden="1"/>
    </xf>
    <xf numFmtId="0" fontId="217" fillId="0" borderId="261" xfId="0" applyNumberFormat="1" applyFont="1" applyBorder="1" applyAlignment="1" applyProtection="1">
      <alignment horizontal="center"/>
      <protection hidden="1"/>
    </xf>
    <xf numFmtId="0" fontId="45" fillId="52" borderId="56" xfId="23" applyNumberFormat="1" applyFont="1" applyFill="1" applyBorder="1" applyAlignment="1" applyProtection="1">
      <alignment horizontal="center" wrapText="1"/>
      <protection hidden="1"/>
    </xf>
    <xf numFmtId="0" fontId="45" fillId="59" borderId="63" xfId="23" applyNumberFormat="1" applyFont="1" applyFill="1" applyBorder="1" applyAlignment="1" applyProtection="1">
      <alignment horizontal="center" wrapText="1"/>
      <protection hidden="1"/>
    </xf>
    <xf numFmtId="0" fontId="45" fillId="88" borderId="95" xfId="23" applyNumberFormat="1" applyFont="1" applyFill="1" applyBorder="1" applyAlignment="1" applyProtection="1">
      <alignment horizontal="center"/>
      <protection hidden="1"/>
    </xf>
    <xf numFmtId="2" fontId="83" fillId="36" borderId="35" xfId="0" applyNumberFormat="1" applyFont="1" applyFill="1" applyBorder="1" applyAlignment="1" applyProtection="1">
      <alignment wrapText="1"/>
      <protection hidden="1"/>
    </xf>
    <xf numFmtId="2" fontId="20" fillId="36" borderId="35" xfId="0" applyNumberFormat="1" applyFont="1" applyFill="1" applyBorder="1" applyAlignment="1" applyProtection="1">
      <alignment wrapText="1"/>
      <protection hidden="1"/>
    </xf>
    <xf numFmtId="2" fontId="83" fillId="43" borderId="43" xfId="30" applyNumberFormat="1" applyFont="1" applyFill="1" applyBorder="1" applyAlignment="1" applyProtection="1">
      <protection hidden="1"/>
    </xf>
    <xf numFmtId="2" fontId="83" fillId="36" borderId="35" xfId="30" applyNumberFormat="1" applyFont="1" applyFill="1" applyBorder="1" applyAlignment="1" applyProtection="1">
      <protection hidden="1"/>
    </xf>
    <xf numFmtId="0" fontId="21" fillId="223" borderId="152" xfId="266" applyFont="1" applyFill="1" applyBorder="1" applyAlignment="1" applyProtection="1">
      <alignment vertical="center" wrapText="1"/>
      <protection hidden="1"/>
    </xf>
    <xf numFmtId="0" fontId="15" fillId="0" borderId="0" xfId="30" applyNumberFormat="1" applyFont="1" applyFill="1" applyBorder="1" applyAlignment="1" applyProtection="1">
      <protection locked="0"/>
    </xf>
    <xf numFmtId="0" fontId="17" fillId="68" borderId="140" xfId="30" applyNumberFormat="1" applyFont="1" applyFill="1" applyBorder="1" applyAlignment="1" applyProtection="1">
      <alignment horizontal="center"/>
      <protection hidden="1"/>
    </xf>
    <xf numFmtId="0" fontId="17" fillId="70" borderId="140" xfId="30" applyNumberFormat="1" applyFont="1" applyFill="1" applyBorder="1" applyAlignment="1" applyProtection="1">
      <alignment horizontal="center"/>
      <protection locked="0"/>
    </xf>
    <xf numFmtId="0" fontId="17" fillId="69" borderId="264" xfId="30" applyNumberFormat="1" applyFont="1" applyFill="1" applyBorder="1" applyAlignment="1" applyProtection="1">
      <alignment horizontal="center"/>
      <protection hidden="1"/>
    </xf>
    <xf numFmtId="0" fontId="17" fillId="71" borderId="264" xfId="30" applyNumberFormat="1" applyFont="1" applyFill="1" applyBorder="1" applyAlignment="1" applyProtection="1">
      <alignment horizontal="center"/>
      <protection locked="0"/>
    </xf>
    <xf numFmtId="165" fontId="17" fillId="90" borderId="213" xfId="0" applyNumberFormat="1" applyFont="1" applyFill="1" applyBorder="1" applyAlignment="1" applyProtection="1">
      <alignment horizontal="center"/>
      <protection locked="0"/>
    </xf>
    <xf numFmtId="165" fontId="17" fillId="91" borderId="202" xfId="0" applyNumberFormat="1" applyFont="1" applyFill="1" applyBorder="1" applyAlignment="1" applyProtection="1">
      <alignment horizontal="center"/>
      <protection locked="0"/>
    </xf>
    <xf numFmtId="165" fontId="17" fillId="92" borderId="202" xfId="0" applyNumberFormat="1" applyFont="1" applyFill="1" applyBorder="1" applyAlignment="1" applyProtection="1">
      <alignment horizontal="center" wrapText="1"/>
      <protection locked="0"/>
    </xf>
    <xf numFmtId="165" fontId="17" fillId="92" borderId="202" xfId="0" applyNumberFormat="1" applyFont="1" applyFill="1" applyBorder="1" applyAlignment="1" applyProtection="1">
      <alignment horizontal="center"/>
      <protection locked="0"/>
    </xf>
    <xf numFmtId="165" fontId="17" fillId="92" borderId="202" xfId="30" applyNumberFormat="1" applyFont="1" applyFill="1" applyBorder="1" applyAlignment="1" applyProtection="1">
      <alignment horizontal="center"/>
      <protection locked="0"/>
    </xf>
    <xf numFmtId="165" fontId="220" fillId="83" borderId="150" xfId="30" applyNumberFormat="1" applyFont="1" applyFill="1" applyBorder="1" applyAlignment="1" applyProtection="1">
      <alignment horizontal="center"/>
      <protection hidden="1"/>
    </xf>
    <xf numFmtId="165" fontId="220" fillId="83" borderId="226" xfId="30" applyNumberFormat="1" applyFont="1" applyFill="1" applyBorder="1" applyAlignment="1" applyProtection="1">
      <alignment horizontal="center"/>
      <protection hidden="1"/>
    </xf>
    <xf numFmtId="165" fontId="220" fillId="83" borderId="192" xfId="30" applyNumberFormat="1" applyFont="1" applyFill="1" applyBorder="1" applyAlignment="1" applyProtection="1">
      <alignment horizontal="center"/>
      <protection hidden="1"/>
    </xf>
    <xf numFmtId="0" fontId="18" fillId="36" borderId="35" xfId="30" applyNumberFormat="1" applyFont="1" applyFill="1" applyBorder="1" applyAlignment="1" applyProtection="1">
      <alignment wrapText="1"/>
      <protection hidden="1"/>
    </xf>
    <xf numFmtId="0" fontId="173" fillId="224" borderId="152" xfId="0" applyFont="1" applyFill="1" applyBorder="1" applyAlignment="1" applyProtection="1">
      <alignment horizontal="left" vertical="top"/>
      <protection hidden="1"/>
    </xf>
    <xf numFmtId="0" fontId="3" fillId="223" borderId="152" xfId="267" applyFont="1" applyFill="1" applyProtection="1">
      <protection hidden="1"/>
    </xf>
    <xf numFmtId="0" fontId="3" fillId="223" borderId="152" xfId="274" applyFont="1" applyFill="1"/>
    <xf numFmtId="0" fontId="223" fillId="36" borderId="35" xfId="31" applyNumberFormat="1" applyFont="1" applyFill="1" applyBorder="1" applyAlignment="1" applyProtection="1">
      <alignment horizontal="left" vertical="center" textRotation="90"/>
      <protection hidden="1"/>
    </xf>
    <xf numFmtId="0" fontId="21" fillId="223" borderId="202" xfId="264" applyFont="1" applyFill="1" applyBorder="1" applyAlignment="1" applyProtection="1">
      <alignment vertical="center" wrapText="1"/>
      <protection hidden="1"/>
    </xf>
    <xf numFmtId="0" fontId="21" fillId="223" borderId="152" xfId="264" applyFont="1" applyFill="1" applyBorder="1" applyAlignment="1" applyProtection="1">
      <alignment vertical="center" wrapText="1"/>
      <protection hidden="1"/>
    </xf>
    <xf numFmtId="0" fontId="166" fillId="226" borderId="152" xfId="264" applyFont="1" applyFill="1" applyAlignment="1" applyProtection="1">
      <protection hidden="1"/>
    </xf>
    <xf numFmtId="0" fontId="212" fillId="223" borderId="139" xfId="264" applyFont="1" applyFill="1" applyBorder="1" applyAlignment="1" applyProtection="1">
      <protection hidden="1"/>
    </xf>
    <xf numFmtId="0" fontId="212" fillId="0" borderId="139" xfId="0" applyFont="1" applyBorder="1" applyAlignment="1" applyProtection="1">
      <alignment horizontal="center"/>
      <protection hidden="1"/>
    </xf>
    <xf numFmtId="0" fontId="43" fillId="214" borderId="152" xfId="14" applyFont="1" applyFill="1" applyBorder="1" applyAlignment="1" applyProtection="1">
      <alignment horizontal="right"/>
      <protection hidden="1"/>
    </xf>
    <xf numFmtId="0" fontId="17" fillId="225" borderId="265" xfId="263" applyNumberFormat="1" applyFont="1" applyFill="1" applyBorder="1" applyAlignment="1" applyProtection="1">
      <alignment horizontal="right"/>
      <protection hidden="1"/>
    </xf>
    <xf numFmtId="0" fontId="21" fillId="36" borderId="35" xfId="0" applyNumberFormat="1" applyFont="1" applyFill="1" applyBorder="1" applyAlignment="1" applyProtection="1">
      <protection hidden="1"/>
    </xf>
    <xf numFmtId="0" fontId="64" fillId="220" borderId="152" xfId="275" applyFont="1" applyFill="1" applyProtection="1">
      <protection hidden="1"/>
    </xf>
    <xf numFmtId="0" fontId="5" fillId="208" borderId="150" xfId="269" applyFont="1" applyFill="1" applyBorder="1" applyProtection="1">
      <protection hidden="1"/>
    </xf>
    <xf numFmtId="0" fontId="5" fillId="233" borderId="266" xfId="269" applyFont="1" applyFill="1" applyBorder="1" applyProtection="1">
      <protection hidden="1"/>
    </xf>
    <xf numFmtId="0" fontId="5" fillId="208" borderId="152" xfId="275" applyFill="1" applyProtection="1">
      <protection locked="0"/>
    </xf>
    <xf numFmtId="176" fontId="5" fillId="234" borderId="152" xfId="275" applyNumberFormat="1" applyFont="1" applyFill="1"/>
    <xf numFmtId="0" fontId="5" fillId="214" borderId="152" xfId="275" applyProtection="1">
      <protection hidden="1"/>
    </xf>
    <xf numFmtId="0" fontId="64" fillId="220" borderId="152" xfId="275" applyFont="1" applyFill="1" applyAlignment="1" applyProtection="1">
      <alignment wrapText="1"/>
      <protection hidden="1"/>
    </xf>
    <xf numFmtId="11" fontId="5" fillId="220" borderId="152" xfId="275" applyNumberFormat="1" applyFill="1" applyProtection="1">
      <protection hidden="1"/>
    </xf>
    <xf numFmtId="1" fontId="5" fillId="220" borderId="152" xfId="275" applyNumberFormat="1" applyFill="1" applyProtection="1">
      <protection hidden="1"/>
    </xf>
    <xf numFmtId="0" fontId="5" fillId="0" borderId="152" xfId="275" applyFill="1"/>
    <xf numFmtId="0" fontId="5" fillId="0" borderId="152" xfId="267" applyFont="1" applyFill="1" applyProtection="1">
      <protection hidden="1"/>
    </xf>
    <xf numFmtId="0" fontId="5" fillId="223" borderId="152" xfId="275" applyFill="1"/>
    <xf numFmtId="0" fontId="5" fillId="223" borderId="152" xfId="267" applyFont="1" applyFill="1" applyProtection="1">
      <protection hidden="1"/>
    </xf>
    <xf numFmtId="0" fontId="21" fillId="223" borderId="152" xfId="269" applyFont="1" applyFill="1" applyAlignment="1" applyProtection="1">
      <alignment horizontal="left"/>
      <protection hidden="1"/>
    </xf>
    <xf numFmtId="0" fontId="3" fillId="0" borderId="152" xfId="274" applyFont="1" applyFill="1"/>
    <xf numFmtId="0" fontId="62" fillId="233" borderId="152" xfId="276" applyFont="1" applyFill="1" applyAlignment="1" applyProtection="1">
      <protection hidden="1"/>
    </xf>
    <xf numFmtId="14" fontId="65" fillId="233" borderId="152" xfId="274" applyNumberFormat="1" applyFont="1" applyFill="1" applyAlignment="1" applyProtection="1">
      <alignment horizontal="left"/>
      <protection hidden="1"/>
    </xf>
    <xf numFmtId="0" fontId="66" fillId="233" borderId="152" xfId="276" applyFont="1" applyFill="1" applyProtection="1">
      <protection hidden="1"/>
    </xf>
    <xf numFmtId="0" fontId="67" fillId="233" borderId="152" xfId="274" applyFont="1" applyFill="1" applyAlignment="1" applyProtection="1">
      <alignment horizontal="right"/>
      <protection hidden="1"/>
    </xf>
    <xf numFmtId="0" fontId="5" fillId="223" borderId="152" xfId="275" applyFill="1" applyProtection="1">
      <protection hidden="1"/>
    </xf>
    <xf numFmtId="0" fontId="5" fillId="233" borderId="152" xfId="269" applyFont="1" applyFill="1" applyBorder="1" applyProtection="1">
      <protection hidden="1"/>
    </xf>
    <xf numFmtId="0" fontId="3" fillId="223" borderId="0" xfId="0" applyNumberFormat="1" applyFont="1" applyFill="1" applyBorder="1" applyAlignment="1" applyProtection="1">
      <protection hidden="1"/>
    </xf>
    <xf numFmtId="0" fontId="3" fillId="0" borderId="0" xfId="259" applyNumberFormat="1" applyFont="1" applyFill="1" applyBorder="1" applyAlignment="1" applyProtection="1">
      <protection hidden="1"/>
    </xf>
    <xf numFmtId="0" fontId="3" fillId="223" borderId="152" xfId="0" applyNumberFormat="1" applyFont="1" applyFill="1" applyBorder="1" applyAlignment="1" applyProtection="1">
      <protection hidden="1"/>
    </xf>
    <xf numFmtId="0" fontId="3" fillId="36" borderId="35" xfId="30" applyNumberFormat="1" applyFont="1" applyFill="1" applyBorder="1" applyAlignment="1" applyProtection="1">
      <alignment horizontal="right"/>
      <protection hidden="1"/>
    </xf>
    <xf numFmtId="0" fontId="17" fillId="36" borderId="35" xfId="30" applyNumberFormat="1" applyFont="1" applyFill="1" applyBorder="1" applyAlignment="1" applyProtection="1">
      <alignment horizontal="left" vertical="top"/>
      <protection hidden="1"/>
    </xf>
    <xf numFmtId="0" fontId="25" fillId="36" borderId="35" xfId="30" applyNumberFormat="1" applyFont="1" applyFill="1" applyBorder="1" applyAlignment="1" applyProtection="1">
      <alignment horizontal="center"/>
      <protection hidden="1"/>
    </xf>
    <xf numFmtId="0" fontId="218" fillId="0" borderId="0" xfId="0" applyNumberFormat="1" applyFont="1" applyFill="1" applyBorder="1" applyAlignment="1" applyProtection="1">
      <protection hidden="1"/>
    </xf>
    <xf numFmtId="0" fontId="20" fillId="0" borderId="228" xfId="30" applyNumberFormat="1" applyFont="1" applyFill="1" applyBorder="1" applyAlignment="1" applyProtection="1">
      <protection hidden="1"/>
    </xf>
    <xf numFmtId="0" fontId="3" fillId="44" borderId="44" xfId="66" applyNumberFormat="1" applyFont="1" applyFill="1" applyBorder="1" applyAlignment="1" applyProtection="1">
      <protection hidden="1"/>
    </xf>
    <xf numFmtId="0" fontId="3" fillId="36" borderId="35" xfId="66" applyNumberFormat="1" applyFont="1" applyFill="1" applyBorder="1" applyAlignment="1" applyProtection="1">
      <protection hidden="1"/>
    </xf>
    <xf numFmtId="0" fontId="107" fillId="0" borderId="72" xfId="14" applyNumberFormat="1" applyFont="1" applyFill="1" applyBorder="1" applyAlignment="1" applyProtection="1">
      <alignment horizontal="left"/>
      <protection hidden="1"/>
    </xf>
    <xf numFmtId="0" fontId="17" fillId="208" borderId="35" xfId="30" applyNumberFormat="1" applyFont="1" applyFill="1" applyBorder="1" applyAlignment="1" applyProtection="1">
      <protection locked="0"/>
    </xf>
    <xf numFmtId="0" fontId="15" fillId="36" borderId="35" xfId="30" applyNumberFormat="1" applyFont="1" applyFill="1" applyBorder="1" applyAlignment="1" applyProtection="1">
      <alignment horizontal="left"/>
      <protection hidden="1"/>
    </xf>
    <xf numFmtId="0" fontId="15" fillId="36" borderId="35" xfId="30" applyNumberFormat="1" applyFont="1" applyFill="1" applyBorder="1" applyAlignment="1" applyProtection="1">
      <alignment horizontal="right"/>
      <protection hidden="1"/>
    </xf>
    <xf numFmtId="0" fontId="106" fillId="36" borderId="35" xfId="14" applyNumberFormat="1" applyFont="1" applyFill="1" applyBorder="1" applyAlignment="1" applyProtection="1">
      <alignment horizontal="left"/>
      <protection hidden="1"/>
    </xf>
    <xf numFmtId="0" fontId="105" fillId="36" borderId="35" xfId="14" applyNumberFormat="1" applyFont="1" applyFill="1" applyBorder="1" applyAlignment="1" applyProtection="1">
      <alignment horizontal="left"/>
      <protection hidden="1"/>
    </xf>
    <xf numFmtId="0" fontId="3" fillId="0" borderId="0" xfId="0" applyNumberFormat="1" applyFont="1" applyFill="1" applyBorder="1" applyAlignment="1" applyProtection="1">
      <protection hidden="1"/>
    </xf>
    <xf numFmtId="0" fontId="17" fillId="47" borderId="50" xfId="28" applyNumberFormat="1" applyFont="1" applyFill="1" applyBorder="1" applyAlignment="1" applyProtection="1">
      <alignment horizontal="center"/>
      <protection locked="0"/>
    </xf>
    <xf numFmtId="0" fontId="46" fillId="0" borderId="0" xfId="30" applyNumberFormat="1" applyFont="1" applyFill="1" applyBorder="1" applyAlignment="1" applyProtection="1">
      <alignment horizontal="right" wrapText="1"/>
      <protection locked="0"/>
    </xf>
    <xf numFmtId="0" fontId="17" fillId="0" borderId="0" xfId="30" applyNumberFormat="1" applyFont="1" applyFill="1" applyBorder="1" applyAlignment="1" applyProtection="1">
      <protection locked="0"/>
    </xf>
    <xf numFmtId="0" fontId="3" fillId="0" borderId="0" xfId="0" applyNumberFormat="1" applyFont="1" applyFill="1" applyBorder="1" applyAlignment="1" applyProtection="1">
      <protection locked="0"/>
    </xf>
    <xf numFmtId="0" fontId="20" fillId="0" borderId="152" xfId="30" applyNumberFormat="1" applyFont="1" applyFill="1" applyBorder="1" applyAlignment="1" applyProtection="1">
      <alignment vertical="center"/>
      <protection locked="0"/>
    </xf>
    <xf numFmtId="0" fontId="21" fillId="0" borderId="0" xfId="30" applyNumberFormat="1" applyFont="1" applyFill="1" applyBorder="1" applyAlignment="1" applyProtection="1">
      <alignment horizontal="center"/>
      <protection locked="0"/>
    </xf>
    <xf numFmtId="165" fontId="20" fillId="0" borderId="0" xfId="30" applyNumberFormat="1" applyFont="1" applyFill="1" applyBorder="1" applyAlignment="1" applyProtection="1">
      <protection locked="0"/>
    </xf>
    <xf numFmtId="0" fontId="20" fillId="0" borderId="0" xfId="23" applyNumberFormat="1" applyFont="1" applyFill="1" applyBorder="1" applyAlignment="1" applyProtection="1">
      <protection locked="0"/>
    </xf>
    <xf numFmtId="0" fontId="20" fillId="0" borderId="0" xfId="23" applyNumberFormat="1" applyFont="1" applyFill="1" applyBorder="1" applyAlignment="1" applyProtection="1">
      <alignment wrapText="1"/>
      <protection locked="0"/>
    </xf>
    <xf numFmtId="166" fontId="3" fillId="0" borderId="0" xfId="0" applyNumberFormat="1" applyFont="1" applyFill="1" applyBorder="1" applyAlignment="1" applyProtection="1">
      <protection locked="0"/>
    </xf>
    <xf numFmtId="2" fontId="17" fillId="0" borderId="0" xfId="30" applyNumberFormat="1" applyFont="1" applyFill="1" applyBorder="1" applyAlignment="1" applyProtection="1">
      <protection locked="0"/>
    </xf>
    <xf numFmtId="0" fontId="225" fillId="214" borderId="150" xfId="264" applyNumberFormat="1" applyFont="1" applyFill="1" applyBorder="1" applyAlignment="1" applyProtection="1">
      <alignment horizontal="center"/>
      <protection hidden="1"/>
    </xf>
    <xf numFmtId="0" fontId="171" fillId="231" borderId="152" xfId="264" applyFont="1" applyFill="1" applyAlignment="1" applyProtection="1">
      <protection hidden="1"/>
    </xf>
    <xf numFmtId="0" fontId="31" fillId="0" borderId="0" xfId="0" applyNumberFormat="1" applyFont="1" applyFill="1" applyBorder="1" applyAlignment="1" applyProtection="1"/>
    <xf numFmtId="0" fontId="22" fillId="0" borderId="152" xfId="14" applyBorder="1">
      <alignment vertical="top"/>
    </xf>
    <xf numFmtId="0" fontId="13" fillId="0" borderId="0" xfId="30" applyNumberFormat="1" applyFont="1" applyFill="1" applyBorder="1" applyAlignment="1" applyProtection="1">
      <alignment horizontal="center"/>
      <protection hidden="1"/>
    </xf>
    <xf numFmtId="2" fontId="17" fillId="36" borderId="35" xfId="30" applyNumberFormat="1" applyFont="1" applyFill="1" applyBorder="1" applyAlignment="1" applyProtection="1">
      <alignment horizontal="center"/>
      <protection hidden="1"/>
    </xf>
    <xf numFmtId="173" fontId="21" fillId="19" borderId="226" xfId="30" applyNumberFormat="1" applyFont="1" applyFill="1" applyBorder="1" applyAlignment="1" applyProtection="1">
      <alignment horizontal="center"/>
      <protection locked="0"/>
    </xf>
    <xf numFmtId="165" fontId="20" fillId="4" borderId="3" xfId="30" applyNumberFormat="1" applyFont="1" applyFill="1" applyBorder="1" applyAlignment="1" applyProtection="1">
      <protection locked="0"/>
    </xf>
    <xf numFmtId="165" fontId="20" fillId="0" borderId="0" xfId="30" applyNumberFormat="1" applyFont="1" applyFill="1" applyBorder="1" applyAlignment="1" applyProtection="1">
      <alignment horizontal="right"/>
      <protection locked="0"/>
    </xf>
    <xf numFmtId="165" fontId="20" fillId="4" borderId="3" xfId="30" applyNumberFormat="1" applyFont="1" applyFill="1" applyBorder="1" applyAlignment="1" applyProtection="1">
      <alignment horizontal="right"/>
      <protection locked="0"/>
    </xf>
    <xf numFmtId="165" fontId="21" fillId="36" borderId="35" xfId="30" applyNumberFormat="1" applyFont="1" applyFill="1" applyBorder="1" applyAlignment="1" applyProtection="1">
      <alignment horizontal="left"/>
      <protection hidden="1"/>
    </xf>
    <xf numFmtId="0" fontId="12" fillId="36" borderId="35" xfId="0" applyNumberFormat="1" applyFont="1" applyFill="1" applyBorder="1" applyAlignment="1" applyProtection="1">
      <protection hidden="1"/>
    </xf>
    <xf numFmtId="2" fontId="21" fillId="36" borderId="35" xfId="30" applyNumberFormat="1" applyFont="1" applyFill="1" applyBorder="1" applyAlignment="1" applyProtection="1">
      <protection hidden="1"/>
    </xf>
    <xf numFmtId="165" fontId="231" fillId="36" borderId="35" xfId="30" applyNumberFormat="1" applyFont="1" applyFill="1" applyBorder="1" applyAlignment="1" applyProtection="1">
      <alignment horizontal="left"/>
      <protection hidden="1"/>
    </xf>
    <xf numFmtId="1" fontId="24" fillId="43" borderId="43" xfId="0" applyNumberFormat="1" applyFont="1" applyFill="1" applyBorder="1" applyAlignment="1" applyProtection="1">
      <alignment horizontal="right" wrapText="1"/>
      <protection hidden="1"/>
    </xf>
    <xf numFmtId="0" fontId="17" fillId="83" borderId="90" xfId="0" applyNumberFormat="1" applyFont="1" applyFill="1" applyBorder="1" applyAlignment="1" applyProtection="1">
      <alignment horizontal="right"/>
      <protection hidden="1"/>
    </xf>
    <xf numFmtId="0" fontId="17" fillId="36" borderId="35" xfId="30" applyNumberFormat="1" applyFont="1" applyFill="1" applyBorder="1" applyAlignment="1" applyProtection="1">
      <alignment horizontal="left"/>
      <protection hidden="1"/>
    </xf>
    <xf numFmtId="0" fontId="17" fillId="0" borderId="46" xfId="0" applyNumberFormat="1" applyFont="1" applyFill="1" applyBorder="1" applyAlignment="1" applyProtection="1">
      <alignment horizontal="center"/>
      <protection hidden="1"/>
    </xf>
    <xf numFmtId="0" fontId="17" fillId="36" borderId="35" xfId="30" applyNumberFormat="1" applyFont="1" applyFill="1" applyBorder="1" applyAlignment="1" applyProtection="1">
      <protection hidden="1"/>
    </xf>
    <xf numFmtId="0" fontId="17" fillId="36" borderId="35" xfId="0" applyNumberFormat="1" applyFont="1" applyFill="1" applyBorder="1" applyAlignment="1" applyProtection="1">
      <alignment horizontal="left"/>
      <protection hidden="1"/>
    </xf>
    <xf numFmtId="0" fontId="17" fillId="97" borderId="101" xfId="30" applyNumberFormat="1" applyFont="1" applyFill="1" applyBorder="1" applyAlignment="1" applyProtection="1">
      <alignment horizontal="center"/>
      <protection hidden="1"/>
    </xf>
    <xf numFmtId="0" fontId="17" fillId="36" borderId="35" xfId="30" applyNumberFormat="1" applyFont="1" applyFill="1" applyBorder="1" applyAlignment="1" applyProtection="1">
      <alignment horizontal="right"/>
      <protection hidden="1"/>
    </xf>
    <xf numFmtId="2" fontId="17" fillId="0" borderId="46" xfId="0" applyNumberFormat="1" applyFont="1" applyFill="1" applyBorder="1" applyAlignment="1" applyProtection="1">
      <alignment horizontal="center"/>
      <protection hidden="1"/>
    </xf>
    <xf numFmtId="0" fontId="17" fillId="44" borderId="44" xfId="27" applyNumberFormat="1" applyFont="1" applyFill="1" applyBorder="1" applyAlignment="1" applyProtection="1">
      <protection hidden="1"/>
    </xf>
    <xf numFmtId="2" fontId="17" fillId="94" borderId="98" xfId="30" applyNumberFormat="1" applyFont="1" applyFill="1" applyBorder="1" applyAlignment="1" applyProtection="1">
      <alignment horizontal="center"/>
      <protection hidden="1"/>
    </xf>
    <xf numFmtId="0" fontId="17" fillId="36" borderId="35" xfId="30" applyNumberFormat="1" applyFont="1" applyFill="1" applyBorder="1" applyAlignment="1" applyProtection="1">
      <alignment horizontal="left" wrapText="1"/>
      <protection hidden="1"/>
    </xf>
    <xf numFmtId="0" fontId="8" fillId="36" borderId="35" xfId="0" applyNumberFormat="1" applyFont="1" applyFill="1" applyBorder="1" applyAlignment="1" applyProtection="1">
      <protection hidden="1"/>
    </xf>
    <xf numFmtId="0" fontId="16" fillId="36" borderId="35" xfId="14" applyNumberFormat="1" applyFont="1" applyFill="1" applyBorder="1" applyAlignment="1" applyProtection="1">
      <alignment horizontal="right"/>
      <protection hidden="1"/>
    </xf>
    <xf numFmtId="0" fontId="17" fillId="56" borderId="60" xfId="30" applyNumberFormat="1" applyFont="1" applyFill="1" applyBorder="1" applyAlignment="1" applyProtection="1">
      <alignment horizontal="center"/>
      <protection hidden="1"/>
    </xf>
    <xf numFmtId="0" fontId="3" fillId="0" borderId="0" xfId="0" applyNumberFormat="1" applyFont="1" applyFill="1" applyBorder="1" applyAlignment="1" applyProtection="1">
      <protection hidden="1"/>
    </xf>
    <xf numFmtId="0" fontId="17" fillId="44" borderId="44" xfId="30" applyNumberFormat="1" applyFont="1" applyFill="1" applyBorder="1" applyAlignment="1" applyProtection="1">
      <protection hidden="1"/>
    </xf>
    <xf numFmtId="0" fontId="17" fillId="83" borderId="90" xfId="30" applyNumberFormat="1" applyFont="1" applyFill="1" applyBorder="1" applyAlignment="1" applyProtection="1">
      <protection hidden="1"/>
    </xf>
    <xf numFmtId="0" fontId="17" fillId="84" borderId="91" xfId="30" applyNumberFormat="1" applyFont="1" applyFill="1" applyBorder="1" applyAlignment="1" applyProtection="1">
      <protection hidden="1"/>
    </xf>
    <xf numFmtId="0" fontId="21" fillId="36" borderId="35" xfId="30" applyNumberFormat="1" applyFont="1" applyFill="1" applyBorder="1" applyAlignment="1" applyProtection="1">
      <alignment horizontal="left"/>
      <protection hidden="1"/>
    </xf>
    <xf numFmtId="0" fontId="17" fillId="94" borderId="98" xfId="30" applyNumberFormat="1" applyFont="1" applyFill="1" applyBorder="1" applyAlignment="1" applyProtection="1">
      <alignment horizontal="center"/>
      <protection hidden="1"/>
    </xf>
    <xf numFmtId="0" fontId="28" fillId="36" borderId="35" xfId="30" applyNumberFormat="1" applyFont="1" applyFill="1" applyBorder="1" applyAlignment="1" applyProtection="1">
      <alignment horizontal="left" wrapText="1"/>
      <protection hidden="1"/>
    </xf>
    <xf numFmtId="2" fontId="17" fillId="36" borderId="35" xfId="30" applyNumberFormat="1" applyFont="1" applyFill="1" applyBorder="1" applyAlignment="1" applyProtection="1">
      <alignment horizontal="left"/>
      <protection hidden="1"/>
    </xf>
    <xf numFmtId="165" fontId="17" fillId="36" borderId="35" xfId="30" applyNumberFormat="1" applyFont="1" applyFill="1" applyBorder="1" applyAlignment="1" applyProtection="1">
      <alignment horizontal="left" wrapText="1"/>
      <protection hidden="1"/>
    </xf>
    <xf numFmtId="165" fontId="17" fillId="36" borderId="35" xfId="30" applyNumberFormat="1" applyFont="1" applyFill="1" applyBorder="1" applyAlignment="1" applyProtection="1">
      <alignment horizontal="left"/>
      <protection hidden="1"/>
    </xf>
    <xf numFmtId="0" fontId="17" fillId="36" borderId="35" xfId="23" applyNumberFormat="1" applyFont="1" applyFill="1" applyBorder="1" applyAlignment="1" applyProtection="1">
      <protection hidden="1"/>
    </xf>
    <xf numFmtId="0" fontId="17" fillId="36" borderId="35" xfId="0" applyNumberFormat="1" applyFont="1" applyFill="1" applyBorder="1" applyAlignment="1" applyProtection="1">
      <protection hidden="1"/>
    </xf>
    <xf numFmtId="0" fontId="17" fillId="38" borderId="37" xfId="0" applyNumberFormat="1" applyFont="1" applyFill="1" applyBorder="1" applyAlignment="1" applyProtection="1">
      <protection hidden="1"/>
    </xf>
    <xf numFmtId="165" fontId="17" fillId="36" borderId="35" xfId="30" applyNumberFormat="1" applyFont="1" applyFill="1" applyBorder="1" applyAlignment="1" applyProtection="1">
      <protection hidden="1"/>
    </xf>
    <xf numFmtId="0" fontId="3" fillId="36" borderId="35" xfId="0" applyNumberFormat="1" applyFont="1" applyFill="1" applyBorder="1" applyAlignment="1" applyProtection="1">
      <protection hidden="1"/>
    </xf>
    <xf numFmtId="0" fontId="105" fillId="36" borderId="35" xfId="14" applyNumberFormat="1" applyFont="1" applyFill="1" applyBorder="1" applyAlignment="1" applyProtection="1">
      <alignment horizontal="right"/>
      <protection hidden="1"/>
    </xf>
    <xf numFmtId="164" fontId="17" fillId="223" borderId="35" xfId="13" applyNumberFormat="1" applyFont="1" applyFill="1" applyBorder="1" applyAlignment="1" applyProtection="1">
      <protection hidden="1"/>
    </xf>
    <xf numFmtId="0" fontId="220" fillId="44" borderId="44" xfId="0" applyNumberFormat="1" applyFont="1" applyFill="1" applyBorder="1" applyAlignment="1" applyProtection="1">
      <alignment horizontal="right"/>
      <protection hidden="1"/>
    </xf>
    <xf numFmtId="0" fontId="220" fillId="74" borderId="81" xfId="0" applyNumberFormat="1" applyFont="1" applyFill="1" applyBorder="1" applyAlignment="1" applyProtection="1">
      <alignment horizontal="right"/>
      <protection hidden="1"/>
    </xf>
    <xf numFmtId="0" fontId="220" fillId="83" borderId="90" xfId="0" applyNumberFormat="1" applyFont="1" applyFill="1" applyBorder="1" applyAlignment="1" applyProtection="1">
      <alignment horizontal="right"/>
      <protection hidden="1"/>
    </xf>
    <xf numFmtId="0" fontId="220" fillId="36" borderId="35" xfId="0" applyNumberFormat="1" applyFont="1" applyFill="1" applyBorder="1" applyAlignment="1" applyProtection="1">
      <protection hidden="1"/>
    </xf>
    <xf numFmtId="0" fontId="220" fillId="36" borderId="35" xfId="30" applyNumberFormat="1" applyFont="1" applyFill="1" applyBorder="1" applyAlignment="1" applyProtection="1">
      <alignment horizontal="left"/>
      <protection hidden="1"/>
    </xf>
    <xf numFmtId="0" fontId="201" fillId="36" borderId="35" xfId="0" applyNumberFormat="1" applyFont="1" applyFill="1" applyBorder="1" applyAlignment="1" applyProtection="1">
      <protection hidden="1"/>
    </xf>
    <xf numFmtId="0" fontId="201" fillId="0" borderId="247" xfId="0" applyNumberFormat="1" applyFont="1" applyFill="1" applyBorder="1" applyAlignment="1" applyProtection="1">
      <alignment horizontal="center"/>
      <protection hidden="1"/>
    </xf>
    <xf numFmtId="0" fontId="188" fillId="36" borderId="35" xfId="0" applyNumberFormat="1" applyFont="1" applyFill="1" applyBorder="1" applyAlignment="1" applyProtection="1">
      <protection hidden="1"/>
    </xf>
    <xf numFmtId="165" fontId="201" fillId="0" borderId="247" xfId="23" applyNumberFormat="1" applyFont="1" applyFill="1" applyBorder="1" applyAlignment="1" applyProtection="1">
      <alignment horizontal="center"/>
      <protection hidden="1"/>
    </xf>
    <xf numFmtId="176" fontId="201" fillId="0" borderId="247" xfId="23" applyNumberFormat="1" applyFont="1" applyFill="1" applyBorder="1" applyAlignment="1" applyProtection="1">
      <alignment horizontal="center"/>
      <protection hidden="1"/>
    </xf>
    <xf numFmtId="0" fontId="201" fillId="36" borderId="35" xfId="30" applyNumberFormat="1" applyFont="1" applyFill="1" applyBorder="1" applyAlignment="1" applyProtection="1">
      <alignment horizontal="left"/>
      <protection hidden="1"/>
    </xf>
    <xf numFmtId="0" fontId="201" fillId="233" borderId="35" xfId="0" applyNumberFormat="1" applyFont="1" applyFill="1" applyBorder="1" applyAlignment="1" applyProtection="1">
      <protection hidden="1"/>
    </xf>
    <xf numFmtId="165" fontId="201" fillId="223" borderId="0" xfId="30" applyNumberFormat="1" applyFont="1" applyFill="1" applyBorder="1" applyAlignment="1" applyProtection="1">
      <protection hidden="1"/>
    </xf>
    <xf numFmtId="176" fontId="201" fillId="223" borderId="0" xfId="23" applyNumberFormat="1" applyFont="1" applyFill="1" applyBorder="1" applyAlignment="1" applyProtection="1">
      <protection hidden="1"/>
    </xf>
    <xf numFmtId="176" fontId="201" fillId="233" borderId="35" xfId="30" applyNumberFormat="1" applyFont="1" applyFill="1" applyBorder="1" applyAlignment="1" applyProtection="1">
      <alignment horizontal="left"/>
      <protection hidden="1"/>
    </xf>
    <xf numFmtId="0" fontId="201" fillId="223" borderId="0" xfId="23" applyNumberFormat="1" applyFont="1" applyFill="1" applyBorder="1" applyAlignment="1" applyProtection="1">
      <protection hidden="1"/>
    </xf>
    <xf numFmtId="170" fontId="201" fillId="223" borderId="0" xfId="23" applyNumberFormat="1" applyFont="1" applyFill="1" applyBorder="1" applyAlignment="1" applyProtection="1">
      <protection hidden="1"/>
    </xf>
    <xf numFmtId="165" fontId="201" fillId="223" borderId="0" xfId="23" applyNumberFormat="1" applyFont="1" applyFill="1" applyBorder="1" applyAlignment="1" applyProtection="1">
      <protection hidden="1"/>
    </xf>
    <xf numFmtId="0" fontId="201" fillId="233" borderId="35" xfId="30" applyNumberFormat="1" applyFont="1" applyFill="1" applyBorder="1" applyAlignment="1" applyProtection="1">
      <alignment horizontal="left"/>
      <protection hidden="1"/>
    </xf>
    <xf numFmtId="0" fontId="180" fillId="214" borderId="139" xfId="263" applyNumberFormat="1" applyFont="1" applyBorder="1" applyProtection="1">
      <protection hidden="1"/>
    </xf>
    <xf numFmtId="0" fontId="180" fillId="214" borderId="140" xfId="263" applyNumberFormat="1" applyFont="1" applyBorder="1" applyProtection="1">
      <protection hidden="1"/>
    </xf>
    <xf numFmtId="0" fontId="171" fillId="214" borderId="139" xfId="263" applyNumberFormat="1" applyFont="1" applyBorder="1" applyProtection="1">
      <protection hidden="1"/>
    </xf>
    <xf numFmtId="0" fontId="189" fillId="223" borderId="152" xfId="263" applyFont="1" applyFill="1" applyProtection="1">
      <protection hidden="1"/>
    </xf>
    <xf numFmtId="1" fontId="24" fillId="0" borderId="270" xfId="0" applyNumberFormat="1" applyFont="1" applyFill="1" applyBorder="1" applyAlignment="1" applyProtection="1">
      <protection hidden="1"/>
    </xf>
    <xf numFmtId="165" fontId="17" fillId="36" borderId="35" xfId="30" applyNumberFormat="1" applyFont="1" applyFill="1" applyBorder="1" applyAlignment="1" applyProtection="1">
      <alignment horizontal="left"/>
      <protection locked="0"/>
    </xf>
    <xf numFmtId="170" fontId="3" fillId="36" borderId="35" xfId="30" applyNumberFormat="1" applyFont="1" applyFill="1" applyBorder="1" applyAlignment="1" applyProtection="1">
      <protection hidden="1"/>
    </xf>
    <xf numFmtId="0" fontId="17" fillId="36" borderId="35" xfId="0" applyNumberFormat="1" applyFont="1" applyFill="1" applyBorder="1" applyAlignment="1" applyProtection="1">
      <protection hidden="1"/>
    </xf>
    <xf numFmtId="0" fontId="21" fillId="44" borderId="44" xfId="0" applyNumberFormat="1" applyFont="1" applyFill="1" applyBorder="1" applyAlignment="1" applyProtection="1">
      <alignment horizontal="right"/>
      <protection hidden="1"/>
    </xf>
    <xf numFmtId="0" fontId="21" fillId="36" borderId="35" xfId="0" applyNumberFormat="1" applyFont="1" applyFill="1" applyBorder="1" applyAlignment="1" applyProtection="1">
      <alignment horizontal="right"/>
      <protection hidden="1"/>
    </xf>
    <xf numFmtId="0" fontId="17" fillId="0" borderId="49" xfId="30" applyNumberFormat="1" applyFont="1" applyFill="1" applyBorder="1" applyAlignment="1" applyProtection="1">
      <alignment horizontal="center"/>
      <protection hidden="1"/>
    </xf>
    <xf numFmtId="2" fontId="5" fillId="223" borderId="267" xfId="0" applyNumberFormat="1" applyFont="1" applyFill="1" applyBorder="1" applyProtection="1">
      <protection hidden="1"/>
    </xf>
    <xf numFmtId="2" fontId="5" fillId="223" borderId="268" xfId="275" applyNumberFormat="1" applyFont="1" applyFill="1" applyBorder="1" applyProtection="1">
      <protection hidden="1"/>
    </xf>
    <xf numFmtId="176" fontId="5" fillId="234" borderId="152" xfId="275" applyNumberFormat="1" applyFont="1" applyFill="1" applyProtection="1">
      <protection hidden="1"/>
    </xf>
    <xf numFmtId="2" fontId="5" fillId="223" borderId="267" xfId="275" applyNumberFormat="1" applyFont="1" applyFill="1" applyBorder="1" applyProtection="1">
      <protection hidden="1"/>
    </xf>
    <xf numFmtId="2" fontId="5" fillId="223" borderId="269" xfId="275" applyNumberFormat="1" applyFont="1" applyFill="1" applyBorder="1" applyProtection="1">
      <protection hidden="1"/>
    </xf>
    <xf numFmtId="2" fontId="5" fillId="223" borderId="152" xfId="275" applyNumberFormat="1" applyFont="1" applyFill="1" applyProtection="1">
      <protection hidden="1"/>
    </xf>
    <xf numFmtId="2" fontId="5" fillId="214" borderId="152" xfId="275" applyNumberFormat="1" applyFont="1" applyProtection="1">
      <protection hidden="1"/>
    </xf>
    <xf numFmtId="0" fontId="3" fillId="223" borderId="152" xfId="274" applyFont="1" applyFill="1" applyProtection="1">
      <protection hidden="1"/>
    </xf>
    <xf numFmtId="49" fontId="64" fillId="233" borderId="152" xfId="269" applyNumberFormat="1" applyFont="1" applyFill="1" applyProtection="1">
      <protection hidden="1"/>
    </xf>
    <xf numFmtId="0" fontId="5" fillId="233" borderId="139" xfId="268" applyFill="1" applyBorder="1" applyAlignment="1" applyProtection="1">
      <alignment vertical="center" wrapText="1"/>
      <protection hidden="1"/>
    </xf>
    <xf numFmtId="0" fontId="5" fillId="233" borderId="139" xfId="268" applyFill="1" applyBorder="1" applyAlignment="1" applyProtection="1">
      <alignment horizontal="center" vertical="center" wrapText="1"/>
      <protection hidden="1"/>
    </xf>
    <xf numFmtId="0" fontId="5" fillId="233" borderId="139" xfId="268" applyFill="1" applyBorder="1" applyProtection="1">
      <protection hidden="1"/>
    </xf>
    <xf numFmtId="0" fontId="5" fillId="233" borderId="139" xfId="268" applyFill="1" applyBorder="1" applyAlignment="1" applyProtection="1">
      <alignment horizontal="center"/>
      <protection hidden="1"/>
    </xf>
    <xf numFmtId="0" fontId="17" fillId="0" borderId="102" xfId="30" applyNumberFormat="1" applyFont="1" applyFill="1" applyBorder="1" applyAlignment="1" applyProtection="1">
      <alignment horizontal="left"/>
      <protection locked="0"/>
    </xf>
    <xf numFmtId="0" fontId="17" fillId="0" borderId="102" xfId="30" applyNumberFormat="1" applyFont="1" applyFill="1" applyBorder="1" applyAlignment="1" applyProtection="1"/>
    <xf numFmtId="0" fontId="17" fillId="0" borderId="0" xfId="30" applyNumberFormat="1" applyFont="1" applyFill="1" applyBorder="1" applyAlignment="1" applyProtection="1">
      <alignment horizontal="center"/>
    </xf>
    <xf numFmtId="0" fontId="17" fillId="0" borderId="138" xfId="30" applyNumberFormat="1" applyFont="1" applyFill="1" applyBorder="1" applyAlignment="1" applyProtection="1"/>
    <xf numFmtId="0" fontId="17" fillId="0" borderId="157" xfId="30" applyNumberFormat="1" applyFont="1" applyFill="1" applyBorder="1" applyAlignment="1" applyProtection="1">
      <alignment horizontal="center"/>
    </xf>
    <xf numFmtId="0" fontId="17" fillId="0" borderId="65" xfId="30" applyNumberFormat="1" applyFont="1" applyFill="1" applyBorder="1" applyAlignment="1" applyProtection="1"/>
    <xf numFmtId="0" fontId="17" fillId="0" borderId="137" xfId="30" applyNumberFormat="1" applyFont="1" applyFill="1" applyBorder="1" applyAlignment="1" applyProtection="1">
      <alignment horizontal="center"/>
    </xf>
    <xf numFmtId="0" fontId="17" fillId="0" borderId="54" xfId="30" applyNumberFormat="1" applyFont="1" applyFill="1" applyBorder="1" applyAlignment="1" applyProtection="1">
      <alignment horizontal="center"/>
    </xf>
    <xf numFmtId="0" fontId="17" fillId="0" borderId="72" xfId="30" applyNumberFormat="1" applyFont="1" applyFill="1" applyBorder="1" applyAlignment="1" applyProtection="1">
      <alignment horizontal="center"/>
    </xf>
    <xf numFmtId="0" fontId="17" fillId="0" borderId="136" xfId="30" applyNumberFormat="1" applyFont="1" applyFill="1" applyBorder="1" applyAlignment="1" applyProtection="1">
      <alignment horizontal="center"/>
    </xf>
    <xf numFmtId="0" fontId="21" fillId="0" borderId="102" xfId="30" applyNumberFormat="1" applyFont="1" applyFill="1" applyBorder="1" applyAlignment="1" applyProtection="1"/>
    <xf numFmtId="0" fontId="17" fillId="137" borderId="147" xfId="0" applyNumberFormat="1" applyFont="1" applyFill="1" applyBorder="1" applyAlignment="1" applyProtection="1">
      <protection locked="0"/>
    </xf>
    <xf numFmtId="0" fontId="17" fillId="36" borderId="35" xfId="30" applyNumberFormat="1" applyFont="1" applyFill="1" applyBorder="1" applyAlignment="1" applyProtection="1">
      <protection hidden="1"/>
    </xf>
    <xf numFmtId="0" fontId="202" fillId="223" borderId="250" xfId="30" applyNumberFormat="1" applyFont="1" applyFill="1" applyBorder="1" applyAlignment="1" applyProtection="1">
      <alignment horizontal="center"/>
      <protection hidden="1"/>
    </xf>
    <xf numFmtId="166" fontId="202" fillId="223" borderId="250" xfId="29" applyNumberFormat="1" applyFont="1" applyFill="1" applyBorder="1" applyAlignment="1" applyProtection="1">
      <alignment horizontal="center" wrapText="1"/>
      <protection hidden="1"/>
    </xf>
    <xf numFmtId="0" fontId="201" fillId="36" borderId="35" xfId="30" applyNumberFormat="1" applyFont="1" applyFill="1" applyBorder="1" applyAlignment="1" applyProtection="1">
      <protection hidden="1"/>
    </xf>
    <xf numFmtId="166" fontId="202" fillId="233" borderId="247" xfId="29" applyNumberFormat="1" applyFont="1" applyFill="1" applyBorder="1" applyAlignment="1" applyProtection="1">
      <alignment horizontal="center" vertical="center" wrapText="1"/>
      <protection hidden="1"/>
    </xf>
    <xf numFmtId="0" fontId="202" fillId="223" borderId="152" xfId="278" applyFont="1" applyFill="1" applyProtection="1">
      <protection hidden="1"/>
    </xf>
    <xf numFmtId="166" fontId="202" fillId="223" borderId="152" xfId="277" applyNumberFormat="1" applyFont="1" applyFill="1" applyProtection="1">
      <protection hidden="1"/>
    </xf>
    <xf numFmtId="0" fontId="202" fillId="36" borderId="35" xfId="30" applyNumberFormat="1" applyFont="1" applyFill="1" applyBorder="1" applyAlignment="1" applyProtection="1">
      <protection hidden="1"/>
    </xf>
    <xf numFmtId="0" fontId="17" fillId="104" borderId="109" xfId="30" applyNumberFormat="1" applyFont="1" applyFill="1" applyBorder="1" applyAlignment="1" applyProtection="1">
      <alignment horizontal="center"/>
      <protection locked="0"/>
    </xf>
    <xf numFmtId="0" fontId="17" fillId="36" borderId="35" xfId="30" applyNumberFormat="1" applyFont="1" applyFill="1" applyBorder="1" applyAlignment="1" applyProtection="1">
      <alignment horizontal="left"/>
      <protection hidden="1"/>
    </xf>
    <xf numFmtId="0" fontId="17" fillId="36" borderId="35" xfId="30" applyNumberFormat="1" applyFont="1" applyFill="1" applyBorder="1" applyAlignment="1" applyProtection="1">
      <protection hidden="1"/>
    </xf>
    <xf numFmtId="0" fontId="3" fillId="0" borderId="0" xfId="0" applyNumberFormat="1" applyFont="1" applyFill="1" applyBorder="1" applyAlignment="1" applyProtection="1">
      <protection hidden="1"/>
    </xf>
    <xf numFmtId="0" fontId="17" fillId="44" borderId="44" xfId="30" applyNumberFormat="1" applyFont="1" applyFill="1" applyBorder="1" applyAlignment="1" applyProtection="1">
      <protection hidden="1"/>
    </xf>
    <xf numFmtId="0" fontId="17" fillId="50" borderId="53" xfId="30" applyNumberFormat="1" applyFont="1" applyFill="1" applyBorder="1" applyAlignment="1" applyProtection="1">
      <protection hidden="1"/>
    </xf>
    <xf numFmtId="0" fontId="17" fillId="36" borderId="35" xfId="0" applyNumberFormat="1" applyFont="1" applyFill="1" applyBorder="1" applyAlignment="1" applyProtection="1">
      <protection hidden="1"/>
    </xf>
    <xf numFmtId="165" fontId="17" fillId="36" borderId="35" xfId="30" applyNumberFormat="1" applyFont="1" applyFill="1" applyBorder="1" applyAlignment="1" applyProtection="1">
      <protection hidden="1"/>
    </xf>
    <xf numFmtId="0" fontId="3" fillId="36" borderId="35" xfId="0" applyNumberFormat="1" applyFont="1" applyFill="1" applyBorder="1" applyAlignment="1" applyProtection="1">
      <protection hidden="1"/>
    </xf>
    <xf numFmtId="0" fontId="45" fillId="87" borderId="94" xfId="23" applyNumberFormat="1" applyFont="1" applyFill="1" applyBorder="1" applyAlignment="1" applyProtection="1">
      <alignment horizontal="center"/>
      <protection hidden="1"/>
    </xf>
    <xf numFmtId="0" fontId="45" fillId="87" borderId="94" xfId="30" applyNumberFormat="1" applyFont="1" applyFill="1" applyBorder="1" applyAlignment="1" applyProtection="1">
      <alignment horizontal="left" vertical="top" wrapText="1"/>
      <protection hidden="1"/>
    </xf>
    <xf numFmtId="0" fontId="45" fillId="36" borderId="35" xfId="30" applyNumberFormat="1" applyFont="1" applyFill="1" applyBorder="1" applyAlignment="1" applyProtection="1">
      <alignment horizontal="left" vertical="top" wrapText="1"/>
      <protection hidden="1"/>
    </xf>
    <xf numFmtId="0" fontId="16" fillId="36" borderId="35" xfId="17" applyNumberFormat="1" applyFont="1" applyFill="1" applyBorder="1" applyAlignment="1" applyProtection="1">
      <alignment horizontal="right"/>
      <protection hidden="1"/>
    </xf>
    <xf numFmtId="0" fontId="17" fillId="36" borderId="139" xfId="0" applyNumberFormat="1" applyFont="1" applyFill="1" applyBorder="1" applyAlignment="1" applyProtection="1">
      <protection hidden="1"/>
    </xf>
    <xf numFmtId="0" fontId="17" fillId="19" borderId="139" xfId="29" applyNumberFormat="1" applyFont="1" applyFill="1" applyBorder="1" applyAlignment="1" applyProtection="1">
      <alignment horizontal="center"/>
      <protection locked="0"/>
    </xf>
    <xf numFmtId="2" fontId="17" fillId="36" borderId="139" xfId="30" applyNumberFormat="1" applyFont="1" applyFill="1" applyBorder="1" applyAlignment="1" applyProtection="1">
      <alignment horizontal="center"/>
      <protection hidden="1"/>
    </xf>
    <xf numFmtId="0" fontId="17" fillId="19" borderId="139" xfId="0" applyNumberFormat="1" applyFont="1" applyFill="1" applyBorder="1" applyAlignment="1" applyProtection="1">
      <alignment horizontal="center"/>
      <protection locked="0"/>
    </xf>
    <xf numFmtId="0" fontId="99" fillId="36" borderId="35" xfId="0" applyNumberFormat="1" applyFont="1" applyFill="1" applyBorder="1" applyAlignment="1" applyProtection="1">
      <alignment horizontal="right"/>
      <protection hidden="1"/>
    </xf>
    <xf numFmtId="0" fontId="197" fillId="0" borderId="152" xfId="0" applyNumberFormat="1" applyFont="1" applyFill="1" applyBorder="1" applyAlignment="1" applyProtection="1">
      <protection locked="0"/>
    </xf>
    <xf numFmtId="0" fontId="8" fillId="36" borderId="35" xfId="0" applyNumberFormat="1" applyFont="1" applyFill="1" applyBorder="1" applyAlignment="1" applyProtection="1">
      <protection hidden="1"/>
    </xf>
    <xf numFmtId="0" fontId="118" fillId="36" borderId="35" xfId="14" applyNumberFormat="1" applyFont="1" applyFill="1" applyBorder="1" applyAlignment="1" applyProtection="1">
      <protection hidden="1"/>
    </xf>
    <xf numFmtId="0" fontId="6" fillId="36" borderId="35" xfId="0" applyNumberFormat="1" applyFont="1" applyFill="1" applyBorder="1" applyAlignment="1" applyProtection="1">
      <alignment horizontal="left"/>
      <protection hidden="1"/>
    </xf>
    <xf numFmtId="0" fontId="6" fillId="36" borderId="35" xfId="0" applyNumberFormat="1" applyFont="1" applyFill="1" applyBorder="1" applyAlignment="1" applyProtection="1">
      <protection hidden="1"/>
    </xf>
    <xf numFmtId="0" fontId="17" fillId="36" borderId="35" xfId="0" applyNumberFormat="1" applyFont="1" applyFill="1" applyBorder="1" applyAlignment="1" applyProtection="1">
      <alignment horizontal="left" wrapText="1"/>
      <protection hidden="1"/>
    </xf>
    <xf numFmtId="0" fontId="169" fillId="214" borderId="152" xfId="263" applyFont="1" applyProtection="1">
      <protection hidden="1"/>
    </xf>
    <xf numFmtId="0" fontId="188" fillId="225" borderId="152" xfId="263" applyNumberFormat="1" applyFont="1" applyFill="1" applyAlignment="1" applyProtection="1">
      <alignment horizontal="center"/>
      <protection hidden="1"/>
    </xf>
    <xf numFmtId="0" fontId="17" fillId="214" borderId="139" xfId="0" applyFont="1" applyFill="1" applyBorder="1" applyAlignment="1" applyProtection="1">
      <alignment horizontal="center"/>
      <protection hidden="1"/>
    </xf>
    <xf numFmtId="0" fontId="17" fillId="37" borderId="36" xfId="26" applyNumberFormat="1" applyFont="1" applyFill="1" applyBorder="1" applyAlignment="1" applyProtection="1">
      <alignment horizontal="center" vertical="center"/>
      <protection hidden="1"/>
    </xf>
    <xf numFmtId="0" fontId="171" fillId="231" borderId="139" xfId="264" applyFont="1" applyFill="1" applyBorder="1" applyAlignment="1" applyProtection="1">
      <alignment horizontal="center"/>
      <protection hidden="1"/>
    </xf>
    <xf numFmtId="0" fontId="171" fillId="231" borderId="139" xfId="264" applyFont="1" applyFill="1" applyBorder="1" applyAlignment="1" applyProtection="1">
      <alignment horizontal="center" vertical="center"/>
      <protection hidden="1"/>
    </xf>
    <xf numFmtId="0" fontId="3" fillId="36" borderId="35" xfId="0" applyNumberFormat="1" applyFont="1" applyFill="1" applyBorder="1" applyAlignment="1" applyProtection="1">
      <alignment vertical="center"/>
      <protection hidden="1"/>
    </xf>
    <xf numFmtId="0" fontId="17" fillId="56" borderId="60" xfId="30" applyNumberFormat="1" applyFont="1" applyFill="1" applyBorder="1" applyAlignment="1" applyProtection="1">
      <alignment horizontal="center" vertical="center"/>
      <protection hidden="1"/>
    </xf>
    <xf numFmtId="0" fontId="17" fillId="43" borderId="43" xfId="30" applyNumberFormat="1" applyFont="1" applyFill="1" applyBorder="1" applyAlignment="1" applyProtection="1">
      <alignment vertical="center"/>
      <protection hidden="1"/>
    </xf>
    <xf numFmtId="0" fontId="17" fillId="0" borderId="46" xfId="30" applyNumberFormat="1" applyFont="1" applyFill="1" applyBorder="1" applyAlignment="1" applyProtection="1">
      <alignment horizontal="center" vertical="center"/>
      <protection hidden="1"/>
    </xf>
    <xf numFmtId="0" fontId="17" fillId="37" borderId="36" xfId="30" applyNumberFormat="1" applyFont="1" applyFill="1" applyBorder="1" applyAlignment="1" applyProtection="1">
      <alignment horizontal="center" vertical="center"/>
      <protection hidden="1"/>
    </xf>
    <xf numFmtId="0" fontId="17" fillId="0" borderId="46" xfId="0" applyNumberFormat="1" applyFont="1" applyFill="1" applyBorder="1" applyAlignment="1" applyProtection="1">
      <alignment horizontal="center" vertical="center"/>
      <protection hidden="1"/>
    </xf>
    <xf numFmtId="0" fontId="17" fillId="36" borderId="35" xfId="0" applyNumberFormat="1" applyFont="1" applyFill="1" applyBorder="1" applyAlignment="1" applyProtection="1">
      <alignment horizontal="left" vertical="top" wrapText="1"/>
      <protection hidden="1"/>
    </xf>
    <xf numFmtId="0" fontId="6" fillId="36" borderId="35" xfId="0" applyNumberFormat="1" applyFont="1" applyFill="1" applyBorder="1" applyAlignment="1" applyProtection="1">
      <protection hidden="1"/>
    </xf>
    <xf numFmtId="0" fontId="16" fillId="36" borderId="35" xfId="14" applyNumberFormat="1" applyFont="1" applyFill="1" applyBorder="1" applyAlignment="1" applyProtection="1">
      <alignment horizontal="left"/>
      <protection hidden="1"/>
    </xf>
    <xf numFmtId="0" fontId="17" fillId="84" borderId="91" xfId="0" applyNumberFormat="1" applyFont="1" applyFill="1" applyBorder="1" applyAlignment="1" applyProtection="1">
      <alignment horizontal="left"/>
      <protection hidden="1"/>
    </xf>
    <xf numFmtId="0" fontId="17" fillId="116" borderId="122" xfId="0" applyNumberFormat="1" applyFont="1" applyFill="1" applyBorder="1" applyAlignment="1" applyProtection="1">
      <alignment horizontal="left"/>
      <protection hidden="1"/>
    </xf>
    <xf numFmtId="0" fontId="17" fillId="43" borderId="43" xfId="0" applyNumberFormat="1" applyFont="1" applyFill="1" applyBorder="1" applyAlignment="1" applyProtection="1">
      <alignment horizontal="left"/>
      <protection hidden="1"/>
    </xf>
    <xf numFmtId="0" fontId="17" fillId="36" borderId="35" xfId="30" applyNumberFormat="1" applyFont="1" applyFill="1" applyBorder="1" applyAlignment="1" applyProtection="1">
      <alignment horizontal="left"/>
      <protection hidden="1"/>
    </xf>
    <xf numFmtId="0" fontId="17" fillId="0" borderId="46" xfId="0" applyNumberFormat="1" applyFont="1" applyFill="1" applyBorder="1" applyAlignment="1" applyProtection="1">
      <alignment horizontal="center"/>
      <protection hidden="1"/>
    </xf>
    <xf numFmtId="0" fontId="17" fillId="46" borderId="47" xfId="30" applyNumberFormat="1" applyFont="1" applyFill="1" applyBorder="1" applyAlignment="1" applyProtection="1">
      <alignment horizontal="center" wrapText="1"/>
      <protection locked="0"/>
    </xf>
    <xf numFmtId="0" fontId="17" fillId="36" borderId="35" xfId="30" applyNumberFormat="1" applyFont="1" applyFill="1" applyBorder="1" applyAlignment="1" applyProtection="1">
      <protection hidden="1"/>
    </xf>
    <xf numFmtId="2" fontId="17" fillId="0" borderId="46" xfId="0" applyNumberFormat="1" applyFont="1" applyFill="1" applyBorder="1" applyAlignment="1" applyProtection="1">
      <alignment horizontal="center"/>
      <protection hidden="1"/>
    </xf>
    <xf numFmtId="0" fontId="17" fillId="44" borderId="44" xfId="0" applyNumberFormat="1" applyFont="1" applyFill="1" applyBorder="1" applyAlignment="1" applyProtection="1">
      <protection hidden="1"/>
    </xf>
    <xf numFmtId="0" fontId="17" fillId="43" borderId="43" xfId="30" applyNumberFormat="1" applyFont="1" applyFill="1" applyBorder="1" applyAlignment="1" applyProtection="1">
      <alignment horizontal="left" vertical="center" wrapText="1"/>
      <protection hidden="1"/>
    </xf>
    <xf numFmtId="0" fontId="8" fillId="36" borderId="35" xfId="0" applyNumberFormat="1" applyFont="1" applyFill="1" applyBorder="1" applyAlignment="1" applyProtection="1">
      <protection hidden="1"/>
    </xf>
    <xf numFmtId="0" fontId="17" fillId="56" borderId="60" xfId="30" applyNumberFormat="1" applyFont="1" applyFill="1" applyBorder="1" applyAlignment="1" applyProtection="1">
      <alignment horizontal="center"/>
      <protection hidden="1"/>
    </xf>
    <xf numFmtId="0" fontId="24" fillId="36" borderId="35" xfId="30" applyNumberFormat="1" applyFont="1" applyFill="1" applyBorder="1" applyAlignment="1" applyProtection="1">
      <alignment horizontal="right"/>
      <protection hidden="1"/>
    </xf>
    <xf numFmtId="0" fontId="17" fillId="94" borderId="98" xfId="30" applyNumberFormat="1" applyFont="1" applyFill="1" applyBorder="1" applyAlignment="1" applyProtection="1">
      <alignment horizontal="left"/>
      <protection hidden="1"/>
    </xf>
    <xf numFmtId="0" fontId="17" fillId="36" borderId="35" xfId="0" applyNumberFormat="1" applyFont="1" applyFill="1" applyBorder="1" applyAlignment="1" applyProtection="1">
      <protection hidden="1"/>
    </xf>
    <xf numFmtId="0" fontId="17" fillId="38" borderId="37" xfId="0" applyNumberFormat="1" applyFont="1" applyFill="1" applyBorder="1" applyAlignment="1" applyProtection="1">
      <protection hidden="1"/>
    </xf>
    <xf numFmtId="0" fontId="17" fillId="49" borderId="52" xfId="0" applyNumberFormat="1" applyFont="1" applyFill="1" applyBorder="1" applyAlignment="1" applyProtection="1">
      <protection hidden="1"/>
    </xf>
    <xf numFmtId="0" fontId="3" fillId="36" borderId="35" xfId="0" applyNumberFormat="1" applyFont="1" applyFill="1" applyBorder="1" applyAlignment="1" applyProtection="1">
      <protection hidden="1"/>
    </xf>
    <xf numFmtId="0" fontId="3" fillId="0" borderId="152" xfId="0" applyNumberFormat="1" applyFont="1" applyFill="1" applyBorder="1" applyAlignment="1" applyProtection="1">
      <protection hidden="1"/>
    </xf>
    <xf numFmtId="0" fontId="17" fillId="0" borderId="0" xfId="30" applyNumberFormat="1" applyFont="1" applyFill="1" applyBorder="1" applyAlignment="1" applyProtection="1">
      <alignment horizontal="left"/>
      <protection hidden="1"/>
    </xf>
    <xf numFmtId="0" fontId="17" fillId="0" borderId="139" xfId="0" applyNumberFormat="1" applyFont="1" applyFill="1" applyBorder="1" applyAlignment="1" applyProtection="1">
      <alignment horizontal="center"/>
      <protection hidden="1"/>
    </xf>
    <xf numFmtId="0" fontId="17" fillId="93" borderId="192" xfId="30" applyNumberFormat="1" applyFont="1" applyFill="1" applyBorder="1" applyAlignment="1" applyProtection="1">
      <alignment horizontal="center"/>
      <protection locked="0"/>
    </xf>
    <xf numFmtId="0" fontId="3" fillId="223" borderId="0" xfId="30" applyNumberFormat="1" applyFont="1" applyFill="1" applyBorder="1" applyAlignment="1" applyProtection="1"/>
    <xf numFmtId="0" fontId="90" fillId="233" borderId="35" xfId="30" applyNumberFormat="1" applyFont="1" applyFill="1" applyBorder="1" applyAlignment="1" applyProtection="1">
      <alignment vertical="center" wrapText="1"/>
      <protection hidden="1"/>
    </xf>
    <xf numFmtId="0" fontId="78" fillId="233" borderId="35" xfId="30" applyNumberFormat="1" applyFont="1" applyFill="1" applyBorder="1" applyAlignment="1" applyProtection="1">
      <alignment vertical="center" wrapText="1"/>
      <protection hidden="1"/>
    </xf>
    <xf numFmtId="0" fontId="17" fillId="36" borderId="238" xfId="30" applyNumberFormat="1" applyFont="1" applyFill="1" applyBorder="1" applyAlignment="1" applyProtection="1">
      <protection hidden="1"/>
    </xf>
    <xf numFmtId="0" fontId="3" fillId="233" borderId="35" xfId="30" applyNumberFormat="1" applyFont="1" applyFill="1" applyBorder="1" applyAlignment="1" applyProtection="1">
      <protection hidden="1"/>
    </xf>
    <xf numFmtId="0" fontId="17" fillId="36" borderId="139" xfId="30" applyNumberFormat="1" applyFont="1" applyFill="1" applyBorder="1" applyAlignment="1" applyProtection="1">
      <alignment horizontal="center"/>
      <protection hidden="1"/>
    </xf>
    <xf numFmtId="0" fontId="17" fillId="0" borderId="238" xfId="0" applyNumberFormat="1" applyFont="1" applyFill="1" applyBorder="1" applyAlignment="1" applyProtection="1">
      <alignment horizontal="right"/>
      <protection hidden="1"/>
    </xf>
    <xf numFmtId="0" fontId="17" fillId="56" borderId="60" xfId="30" applyNumberFormat="1" applyFont="1" applyFill="1" applyBorder="1" applyAlignment="1" applyProtection="1">
      <alignment horizontal="center"/>
      <protection hidden="1"/>
    </xf>
    <xf numFmtId="0" fontId="17" fillId="94" borderId="98" xfId="30" applyNumberFormat="1" applyFont="1" applyFill="1" applyBorder="1" applyAlignment="1" applyProtection="1">
      <alignment horizontal="center"/>
      <protection hidden="1"/>
    </xf>
    <xf numFmtId="2" fontId="17" fillId="214" borderId="213" xfId="269" applyNumberFormat="1" applyFont="1" applyFill="1" applyBorder="1" applyAlignment="1" applyProtection="1">
      <alignment horizontal="right"/>
      <protection hidden="1"/>
    </xf>
    <xf numFmtId="0" fontId="17" fillId="220" borderId="222" xfId="29" applyNumberFormat="1" applyFont="1" applyFill="1" applyBorder="1" applyAlignment="1" applyProtection="1">
      <alignment horizontal="left" wrapText="1"/>
      <protection hidden="1"/>
    </xf>
    <xf numFmtId="0" fontId="3" fillId="0" borderId="0" xfId="0" applyNumberFormat="1" applyFont="1" applyFill="1" applyBorder="1" applyAlignment="1" applyProtection="1">
      <protection hidden="1"/>
    </xf>
    <xf numFmtId="0" fontId="17" fillId="67" borderId="74" xfId="30" applyNumberFormat="1" applyFont="1" applyFill="1" applyBorder="1" applyAlignment="1" applyProtection="1">
      <alignment horizontal="center"/>
      <protection hidden="1"/>
    </xf>
    <xf numFmtId="0" fontId="17" fillId="37" borderId="36" xfId="30" applyNumberFormat="1" applyFont="1" applyFill="1" applyBorder="1" applyAlignment="1" applyProtection="1">
      <alignment horizontal="center" wrapText="1"/>
      <protection hidden="1"/>
    </xf>
    <xf numFmtId="0" fontId="3" fillId="36" borderId="35" xfId="0" applyNumberFormat="1" applyFont="1" applyFill="1" applyBorder="1" applyAlignment="1" applyProtection="1">
      <protection hidden="1"/>
    </xf>
    <xf numFmtId="0" fontId="17" fillId="36" borderId="35" xfId="0" applyNumberFormat="1" applyFont="1" applyFill="1" applyBorder="1" applyAlignment="1" applyProtection="1">
      <protection hidden="1"/>
    </xf>
    <xf numFmtId="0" fontId="17" fillId="36" borderId="35" xfId="30" applyNumberFormat="1" applyFont="1" applyFill="1" applyBorder="1" applyAlignment="1" applyProtection="1">
      <protection hidden="1"/>
    </xf>
    <xf numFmtId="0" fontId="21" fillId="36" borderId="35" xfId="30" applyNumberFormat="1" applyFont="1" applyFill="1" applyBorder="1" applyAlignment="1" applyProtection="1">
      <alignment horizontal="left"/>
      <protection hidden="1"/>
    </xf>
    <xf numFmtId="0" fontId="206" fillId="36" borderId="35" xfId="30" applyNumberFormat="1" applyFont="1" applyFill="1" applyBorder="1" applyAlignment="1" applyProtection="1">
      <protection hidden="1"/>
    </xf>
    <xf numFmtId="0" fontId="206" fillId="223" borderId="0" xfId="0" applyNumberFormat="1" applyFont="1" applyFill="1" applyBorder="1" applyAlignment="1" applyProtection="1">
      <protection hidden="1"/>
    </xf>
    <xf numFmtId="174" fontId="202" fillId="223" borderId="152" xfId="30" applyNumberFormat="1" applyFont="1" applyFill="1" applyBorder="1" applyAlignment="1" applyProtection="1">
      <alignment horizontal="center"/>
      <protection hidden="1"/>
    </xf>
    <xf numFmtId="175" fontId="202" fillId="223" borderId="152" xfId="29" applyNumberFormat="1" applyFont="1" applyFill="1" applyBorder="1" applyAlignment="1" applyProtection="1">
      <alignment horizontal="center" wrapText="1"/>
      <protection hidden="1"/>
    </xf>
    <xf numFmtId="0" fontId="233" fillId="223" borderId="0" xfId="0" applyNumberFormat="1" applyFont="1" applyFill="1" applyBorder="1" applyAlignment="1" applyProtection="1">
      <protection hidden="1"/>
    </xf>
    <xf numFmtId="0" fontId="202" fillId="223" borderId="152" xfId="278" applyFont="1" applyFill="1" applyBorder="1" applyProtection="1">
      <protection hidden="1"/>
    </xf>
    <xf numFmtId="166" fontId="202" fillId="223" borderId="152" xfId="277" applyNumberFormat="1" applyFont="1" applyFill="1" applyBorder="1" applyProtection="1">
      <protection hidden="1"/>
    </xf>
    <xf numFmtId="0" fontId="3" fillId="223" borderId="0" xfId="30" applyNumberFormat="1" applyFont="1" applyFill="1" applyBorder="1" applyAlignment="1" applyProtection="1">
      <protection hidden="1"/>
    </xf>
    <xf numFmtId="49" fontId="17" fillId="208" borderId="139" xfId="30" applyNumberFormat="1" applyFont="1" applyFill="1" applyBorder="1" applyAlignment="1" applyProtection="1">
      <alignment horizontal="center" vertical="center" wrapText="1"/>
      <protection locked="0"/>
    </xf>
    <xf numFmtId="0" fontId="17" fillId="36" borderId="35" xfId="30" applyNumberFormat="1" applyFont="1" applyFill="1" applyBorder="1" applyAlignment="1" applyProtection="1">
      <protection hidden="1"/>
    </xf>
    <xf numFmtId="0" fontId="17" fillId="99" borderId="104" xfId="0" applyNumberFormat="1" applyFont="1" applyFill="1" applyBorder="1" applyAlignment="1" applyProtection="1">
      <protection locked="0"/>
    </xf>
    <xf numFmtId="0" fontId="17" fillId="47" borderId="50" xfId="0" applyNumberFormat="1" applyFont="1" applyFill="1" applyBorder="1" applyAlignment="1" applyProtection="1">
      <alignment horizontal="center"/>
      <protection locked="0"/>
    </xf>
    <xf numFmtId="0" fontId="17" fillId="46" borderId="47" xfId="0" applyNumberFormat="1" applyFont="1" applyFill="1" applyBorder="1" applyAlignment="1" applyProtection="1">
      <alignment horizontal="center"/>
      <protection locked="0"/>
    </xf>
    <xf numFmtId="0" fontId="17" fillId="57" borderId="61" xfId="30" applyNumberFormat="1" applyFont="1" applyFill="1" applyBorder="1" applyAlignment="1" applyProtection="1">
      <alignment horizontal="center"/>
      <protection locked="0"/>
    </xf>
    <xf numFmtId="0" fontId="17" fillId="99" borderId="104" xfId="30" applyNumberFormat="1" applyFont="1" applyFill="1" applyBorder="1" applyAlignment="1" applyProtection="1">
      <protection locked="0"/>
    </xf>
    <xf numFmtId="0" fontId="17" fillId="75" borderId="82" xfId="30" applyNumberFormat="1" applyFont="1" applyFill="1" applyBorder="1" applyAlignment="1" applyProtection="1">
      <protection locked="0"/>
    </xf>
    <xf numFmtId="0" fontId="17" fillId="0" borderId="102" xfId="0" applyNumberFormat="1" applyFont="1" applyFill="1" applyBorder="1" applyAlignment="1" applyProtection="1">
      <protection hidden="1"/>
    </xf>
    <xf numFmtId="0" fontId="169" fillId="214" borderId="152" xfId="263" applyFont="1" applyProtection="1">
      <protection hidden="1"/>
    </xf>
    <xf numFmtId="0" fontId="175" fillId="226" borderId="152" xfId="265" applyFont="1" applyFill="1" applyAlignment="1" applyProtection="1">
      <alignment horizontal="right" wrapText="1"/>
      <protection hidden="1"/>
    </xf>
    <xf numFmtId="0" fontId="171" fillId="225" borderId="152" xfId="263" applyFont="1" applyFill="1" applyAlignment="1" applyProtection="1">
      <alignment horizontal="right"/>
      <protection hidden="1"/>
    </xf>
    <xf numFmtId="0" fontId="17" fillId="214" borderId="139" xfId="0" applyFont="1" applyFill="1" applyBorder="1" applyAlignment="1">
      <alignment horizontal="center"/>
    </xf>
    <xf numFmtId="2" fontId="17" fillId="0" borderId="139" xfId="0" applyNumberFormat="1" applyFont="1" applyFill="1" applyBorder="1" applyAlignment="1" applyProtection="1">
      <alignment horizontal="center"/>
      <protection hidden="1"/>
    </xf>
    <xf numFmtId="0" fontId="91" fillId="105" borderId="110" xfId="30" applyNumberFormat="1" applyFont="1" applyFill="1" applyBorder="1" applyAlignment="1" applyProtection="1"/>
    <xf numFmtId="0" fontId="91" fillId="142" borderId="152" xfId="0" applyNumberFormat="1" applyFont="1" applyFill="1" applyBorder="1" applyAlignment="1" applyProtection="1">
      <alignment horizontal="center"/>
    </xf>
    <xf numFmtId="0" fontId="91" fillId="143" borderId="153" xfId="0" applyNumberFormat="1" applyFont="1" applyFill="1" applyBorder="1" applyAlignment="1" applyProtection="1">
      <alignment horizontal="center"/>
    </xf>
    <xf numFmtId="0" fontId="91" fillId="143" borderId="153" xfId="30" applyNumberFormat="1" applyFont="1" applyFill="1" applyBorder="1" applyAlignment="1" applyProtection="1">
      <alignment horizontal="center"/>
    </xf>
    <xf numFmtId="1" fontId="91" fillId="106" borderId="111" xfId="30" applyNumberFormat="1" applyFont="1" applyFill="1" applyBorder="1" applyAlignment="1" applyProtection="1">
      <alignment horizontal="center"/>
    </xf>
    <xf numFmtId="2" fontId="91" fillId="105" borderId="110" xfId="0" applyNumberFormat="1" applyFont="1" applyFill="1" applyBorder="1" applyAlignment="1" applyProtection="1">
      <alignment horizontal="center"/>
    </xf>
    <xf numFmtId="1" fontId="91" fillId="107" borderId="112" xfId="0" applyNumberFormat="1" applyFont="1" applyFill="1" applyBorder="1" applyAlignment="1" applyProtection="1">
      <alignment horizontal="center"/>
    </xf>
    <xf numFmtId="2" fontId="91" fillId="108" borderId="113" xfId="0" applyNumberFormat="1" applyFont="1" applyFill="1" applyBorder="1" applyAlignment="1" applyProtection="1">
      <alignment horizontal="center"/>
    </xf>
    <xf numFmtId="0" fontId="186" fillId="130" borderId="140" xfId="0" applyNumberFormat="1" applyFont="1" applyFill="1" applyBorder="1" applyAlignment="1" applyProtection="1"/>
    <xf numFmtId="0" fontId="186" fillId="229" borderId="221" xfId="30" applyNumberFormat="1" applyFont="1" applyFill="1" applyBorder="1" applyAlignment="1" applyProtection="1"/>
    <xf numFmtId="0" fontId="21" fillId="129" borderId="139" xfId="0" applyNumberFormat="1" applyFont="1" applyFill="1" applyBorder="1" applyAlignment="1" applyProtection="1"/>
    <xf numFmtId="0" fontId="186" fillId="161" borderId="175" xfId="0" applyNumberFormat="1" applyFont="1" applyFill="1" applyBorder="1" applyAlignment="1" applyProtection="1">
      <alignment horizontal="center"/>
    </xf>
    <xf numFmtId="0" fontId="20" fillId="126" borderId="133" xfId="30" applyNumberFormat="1" applyFont="1" applyFill="1" applyBorder="1" applyAlignment="1" applyProtection="1"/>
    <xf numFmtId="164" fontId="201" fillId="36" borderId="35" xfId="13" applyNumberFormat="1" applyFont="1" applyFill="1" applyBorder="1" applyAlignment="1" applyProtection="1">
      <alignment vertical="center" wrapText="1"/>
    </xf>
    <xf numFmtId="0" fontId="201" fillId="36" borderId="35" xfId="30" applyNumberFormat="1" applyFont="1" applyFill="1" applyBorder="1" applyAlignment="1" applyProtection="1">
      <alignment vertical="center"/>
    </xf>
    <xf numFmtId="0" fontId="23" fillId="36" borderId="35" xfId="0" applyNumberFormat="1" applyFont="1" applyFill="1" applyBorder="1" applyAlignment="1" applyProtection="1">
      <alignment horizontal="left" wrapText="1"/>
      <protection hidden="1"/>
    </xf>
    <xf numFmtId="0" fontId="17" fillId="36" borderId="35" xfId="0" applyNumberFormat="1" applyFont="1" applyFill="1" applyBorder="1" applyAlignment="1" applyProtection="1">
      <alignment horizontal="left" vertical="top" wrapText="1"/>
      <protection hidden="1"/>
    </xf>
    <xf numFmtId="0" fontId="6" fillId="36" borderId="35" xfId="0" applyNumberFormat="1" applyFont="1" applyFill="1" applyBorder="1" applyAlignment="1" applyProtection="1">
      <alignment horizontal="center"/>
      <protection hidden="1"/>
    </xf>
    <xf numFmtId="0" fontId="210" fillId="214" borderId="152" xfId="14" applyFont="1" applyFill="1" applyBorder="1" applyAlignment="1" applyProtection="1">
      <protection hidden="1"/>
    </xf>
    <xf numFmtId="0" fontId="6" fillId="36" borderId="35" xfId="0" applyNumberFormat="1" applyFont="1" applyFill="1" applyBorder="1" applyAlignment="1" applyProtection="1">
      <protection hidden="1"/>
    </xf>
    <xf numFmtId="0" fontId="3" fillId="36" borderId="35" xfId="0" applyNumberFormat="1" applyFont="1" applyFill="1" applyBorder="1" applyAlignment="1" applyProtection="1">
      <alignment horizontal="center"/>
      <protection hidden="1"/>
    </xf>
    <xf numFmtId="0" fontId="196" fillId="36" borderId="152" xfId="0" applyNumberFormat="1" applyFont="1" applyFill="1" applyBorder="1" applyAlignment="1" applyProtection="1">
      <alignment horizontal="center"/>
      <protection hidden="1"/>
    </xf>
    <xf numFmtId="0" fontId="6" fillId="36" borderId="35" xfId="0" applyNumberFormat="1" applyFont="1" applyFill="1" applyBorder="1" applyAlignment="1" applyProtection="1">
      <alignment horizontal="left" wrapText="1"/>
      <protection hidden="1"/>
    </xf>
    <xf numFmtId="0" fontId="210" fillId="36" borderId="35" xfId="18" applyNumberFormat="1" applyFont="1" applyFill="1" applyBorder="1" applyAlignment="1" applyProtection="1">
      <alignment horizontal="left"/>
      <protection hidden="1"/>
    </xf>
    <xf numFmtId="0" fontId="118" fillId="36" borderId="35" xfId="14" applyNumberFormat="1" applyFont="1" applyFill="1" applyBorder="1" applyAlignment="1" applyProtection="1">
      <alignment horizontal="left"/>
      <protection hidden="1"/>
    </xf>
    <xf numFmtId="0" fontId="118" fillId="223" borderId="152" xfId="14" applyFont="1" applyFill="1" applyBorder="1" applyAlignment="1" applyProtection="1">
      <protection hidden="1"/>
    </xf>
    <xf numFmtId="0" fontId="6" fillId="36" borderId="35" xfId="31" applyNumberFormat="1" applyFont="1" applyFill="1" applyBorder="1" applyAlignment="1" applyProtection="1">
      <alignment horizontal="center"/>
      <protection hidden="1"/>
    </xf>
    <xf numFmtId="0" fontId="210" fillId="0" borderId="0" xfId="14" applyNumberFormat="1" applyFont="1" applyFill="1" applyBorder="1" applyAlignment="1" applyProtection="1">
      <protection hidden="1"/>
    </xf>
    <xf numFmtId="0" fontId="6" fillId="36" borderId="35" xfId="0" applyNumberFormat="1" applyFont="1" applyFill="1" applyBorder="1" applyAlignment="1" applyProtection="1">
      <alignment horizontal="left"/>
      <protection hidden="1"/>
    </xf>
    <xf numFmtId="0" fontId="118" fillId="0" borderId="0" xfId="14" applyNumberFormat="1" applyFont="1" applyFill="1" applyBorder="1" applyAlignment="1" applyProtection="1">
      <protection hidden="1"/>
    </xf>
    <xf numFmtId="0" fontId="118" fillId="223" borderId="152" xfId="14" applyFont="1" applyFill="1" applyBorder="1" applyAlignment="1" applyProtection="1">
      <alignment vertical="center"/>
      <protection hidden="1"/>
    </xf>
    <xf numFmtId="0" fontId="6" fillId="233" borderId="35" xfId="31" applyNumberFormat="1" applyFont="1" applyFill="1" applyBorder="1" applyAlignment="1" applyProtection="1">
      <alignment horizontal="center"/>
      <protection hidden="1"/>
    </xf>
    <xf numFmtId="0" fontId="6" fillId="233" borderId="35" xfId="0" applyNumberFormat="1" applyFont="1" applyFill="1" applyBorder="1" applyAlignment="1" applyProtection="1">
      <alignment horizontal="left"/>
      <protection hidden="1"/>
    </xf>
    <xf numFmtId="0" fontId="118" fillId="36" borderId="35" xfId="14" applyNumberFormat="1" applyFont="1" applyFill="1" applyBorder="1" applyAlignment="1" applyProtection="1">
      <protection hidden="1"/>
    </xf>
    <xf numFmtId="0" fontId="6" fillId="36" borderId="35" xfId="14" applyNumberFormat="1" applyFont="1" applyFill="1" applyBorder="1" applyAlignment="1" applyProtection="1">
      <protection hidden="1"/>
    </xf>
    <xf numFmtId="0" fontId="118" fillId="233" borderId="35" xfId="14" applyNumberFormat="1" applyFont="1" applyFill="1" applyBorder="1" applyAlignment="1" applyProtection="1">
      <alignment horizontal="left"/>
      <protection hidden="1"/>
    </xf>
    <xf numFmtId="0" fontId="8" fillId="43" borderId="43" xfId="0" applyNumberFormat="1" applyFont="1" applyFill="1" applyBorder="1" applyAlignment="1" applyProtection="1">
      <protection hidden="1"/>
    </xf>
    <xf numFmtId="0" fontId="166" fillId="224" borderId="152" xfId="262" applyFont="1" applyFill="1" applyBorder="1" applyAlignment="1" applyProtection="1">
      <alignment horizontal="center" vertical="center"/>
      <protection hidden="1"/>
    </xf>
    <xf numFmtId="0" fontId="196" fillId="36" borderId="35" xfId="0" applyNumberFormat="1" applyFont="1" applyFill="1" applyBorder="1" applyAlignment="1" applyProtection="1">
      <alignment horizontal="left" vertical="center"/>
      <protection hidden="1"/>
    </xf>
    <xf numFmtId="0" fontId="210" fillId="36" borderId="35" xfId="18" applyNumberFormat="1" applyFont="1" applyFill="1" applyBorder="1" applyAlignment="1" applyProtection="1">
      <protection hidden="1"/>
    </xf>
    <xf numFmtId="0" fontId="17" fillId="231" borderId="152" xfId="264" applyFont="1" applyFill="1" applyAlignment="1" applyProtection="1">
      <alignment horizontal="center" vertical="top"/>
      <protection hidden="1"/>
    </xf>
    <xf numFmtId="0" fontId="17" fillId="231" borderId="152" xfId="264" applyFont="1" applyFill="1" applyAlignment="1" applyProtection="1">
      <alignment horizontal="center"/>
      <protection hidden="1"/>
    </xf>
    <xf numFmtId="0" fontId="18" fillId="36" borderId="35" xfId="30" applyNumberFormat="1" applyFont="1" applyFill="1" applyBorder="1" applyAlignment="1" applyProtection="1">
      <alignment horizontal="left" wrapText="1"/>
      <protection hidden="1"/>
    </xf>
    <xf numFmtId="0" fontId="15" fillId="36" borderId="35" xfId="30" applyNumberFormat="1" applyFont="1" applyFill="1" applyBorder="1" applyAlignment="1" applyProtection="1">
      <alignment horizontal="right"/>
      <protection hidden="1"/>
    </xf>
    <xf numFmtId="0" fontId="106" fillId="36" borderId="35" xfId="14" applyNumberFormat="1" applyFont="1" applyFill="1" applyBorder="1" applyAlignment="1" applyProtection="1">
      <alignment horizontal="left"/>
      <protection hidden="1"/>
    </xf>
    <xf numFmtId="0" fontId="16" fillId="36" borderId="35" xfId="14" applyNumberFormat="1" applyFont="1" applyFill="1" applyBorder="1" applyAlignment="1" applyProtection="1">
      <alignment horizontal="left"/>
      <protection hidden="1"/>
    </xf>
    <xf numFmtId="0" fontId="17" fillId="0" borderId="140" xfId="0" applyNumberFormat="1" applyFont="1" applyFill="1" applyBorder="1" applyAlignment="1" applyProtection="1">
      <alignment horizontal="center"/>
      <protection hidden="1"/>
    </xf>
    <xf numFmtId="0" fontId="17" fillId="0" borderId="236" xfId="0" applyNumberFormat="1" applyFont="1" applyFill="1" applyBorder="1" applyAlignment="1" applyProtection="1">
      <alignment horizontal="center"/>
      <protection hidden="1"/>
    </xf>
    <xf numFmtId="0" fontId="17" fillId="46" borderId="140" xfId="30" applyNumberFormat="1" applyFont="1" applyFill="1" applyBorder="1" applyAlignment="1" applyProtection="1">
      <alignment horizontal="center" wrapText="1"/>
      <protection locked="0"/>
    </xf>
    <xf numFmtId="0" fontId="17" fillId="46" borderId="236" xfId="30" applyNumberFormat="1" applyFont="1" applyFill="1" applyBorder="1" applyAlignment="1" applyProtection="1">
      <alignment horizontal="center" wrapText="1"/>
      <protection locked="0"/>
    </xf>
    <xf numFmtId="0" fontId="17" fillId="36" borderId="35" xfId="30" applyNumberFormat="1" applyFont="1" applyFill="1" applyBorder="1" applyAlignment="1" applyProtection="1">
      <alignment horizontal="left" wrapText="1"/>
      <protection hidden="1"/>
    </xf>
    <xf numFmtId="0" fontId="25" fillId="49" borderId="238" xfId="258" applyNumberFormat="1" applyFont="1" applyFill="1" applyBorder="1" applyAlignment="1" applyProtection="1">
      <alignment horizontal="left" vertical="top"/>
      <protection hidden="1"/>
    </xf>
    <xf numFmtId="0" fontId="17" fillId="36" borderId="208" xfId="16" applyNumberFormat="1" applyFont="1" applyFill="1" applyBorder="1" applyAlignment="1" applyProtection="1">
      <alignment horizontal="left" vertical="top" wrapText="1"/>
      <protection hidden="1"/>
    </xf>
    <xf numFmtId="0" fontId="17" fillId="36" borderId="152" xfId="16" applyNumberFormat="1" applyFont="1" applyFill="1" applyBorder="1" applyAlignment="1" applyProtection="1">
      <alignment horizontal="left" vertical="top" wrapText="1"/>
      <protection hidden="1"/>
    </xf>
    <xf numFmtId="0" fontId="145" fillId="36" borderId="35" xfId="30" applyNumberFormat="1" applyFont="1" applyFill="1" applyBorder="1" applyAlignment="1" applyProtection="1">
      <alignment horizontal="right"/>
      <protection hidden="1"/>
    </xf>
    <xf numFmtId="0" fontId="15" fillId="36" borderId="35" xfId="30" applyNumberFormat="1" applyFont="1" applyFill="1" applyBorder="1" applyAlignment="1" applyProtection="1">
      <alignment horizontal="left"/>
      <protection hidden="1"/>
    </xf>
    <xf numFmtId="0" fontId="17" fillId="0" borderId="0" xfId="0" applyNumberFormat="1" applyFont="1" applyFill="1" applyBorder="1" applyAlignment="1" applyProtection="1">
      <protection hidden="1"/>
    </xf>
    <xf numFmtId="0" fontId="17" fillId="117" borderId="123" xfId="259" applyNumberFormat="1" applyFont="1" applyFill="1" applyBorder="1" applyAlignment="1" applyProtection="1">
      <alignment horizontal="left"/>
      <protection hidden="1"/>
    </xf>
    <xf numFmtId="0" fontId="17" fillId="113" borderId="119" xfId="259" applyNumberFormat="1" applyFont="1" applyFill="1" applyBorder="1" applyAlignment="1" applyProtection="1">
      <alignment horizontal="left"/>
      <protection hidden="1"/>
    </xf>
    <xf numFmtId="0" fontId="17" fillId="115" borderId="121" xfId="259" applyNumberFormat="1" applyFont="1" applyFill="1" applyBorder="1" applyAlignment="1" applyProtection="1">
      <alignment horizontal="left"/>
      <protection hidden="1"/>
    </xf>
    <xf numFmtId="0" fontId="17" fillId="119" borderId="125" xfId="0" applyNumberFormat="1" applyFont="1" applyFill="1" applyBorder="1" applyAlignment="1" applyProtection="1">
      <protection hidden="1"/>
    </xf>
    <xf numFmtId="0" fontId="17" fillId="84" borderId="91" xfId="0" applyNumberFormat="1" applyFont="1" applyFill="1" applyBorder="1" applyAlignment="1" applyProtection="1">
      <alignment horizontal="left"/>
      <protection hidden="1"/>
    </xf>
    <xf numFmtId="0" fontId="17" fillId="67" borderId="74" xfId="0" applyNumberFormat="1" applyFont="1" applyFill="1" applyBorder="1" applyAlignment="1" applyProtection="1">
      <alignment horizontal="left"/>
      <protection hidden="1"/>
    </xf>
    <xf numFmtId="0" fontId="17" fillId="94" borderId="98" xfId="0" applyNumberFormat="1" applyFont="1" applyFill="1" applyBorder="1" applyAlignment="1" applyProtection="1">
      <alignment horizontal="left"/>
      <protection hidden="1"/>
    </xf>
    <xf numFmtId="0" fontId="17" fillId="181" borderId="196" xfId="0" applyNumberFormat="1" applyFont="1" applyFill="1" applyBorder="1" applyAlignment="1" applyProtection="1">
      <alignment horizontal="left"/>
      <protection hidden="1"/>
    </xf>
    <xf numFmtId="0" fontId="17" fillId="119" borderId="125" xfId="0" applyNumberFormat="1" applyFont="1" applyFill="1" applyBorder="1" applyAlignment="1" applyProtection="1">
      <alignment horizontal="left"/>
      <protection hidden="1"/>
    </xf>
    <xf numFmtId="0" fontId="17" fillId="97" borderId="101" xfId="0" applyNumberFormat="1" applyFont="1" applyFill="1" applyBorder="1" applyAlignment="1" applyProtection="1">
      <alignment horizontal="left" vertical="center" wrapText="1"/>
      <protection hidden="1"/>
    </xf>
    <xf numFmtId="0" fontId="17" fillId="36" borderId="35" xfId="0" applyNumberFormat="1" applyFont="1" applyFill="1" applyBorder="1" applyAlignment="1" applyProtection="1">
      <alignment horizontal="left" vertical="center" wrapText="1"/>
      <protection hidden="1"/>
    </xf>
    <xf numFmtId="0" fontId="24" fillId="0" borderId="65" xfId="0" applyNumberFormat="1" applyFont="1" applyFill="1" applyBorder="1" applyAlignment="1" applyProtection="1">
      <alignment horizontal="left" vertical="top"/>
      <protection hidden="1"/>
    </xf>
    <xf numFmtId="0" fontId="24" fillId="0" borderId="136" xfId="0" applyNumberFormat="1" applyFont="1" applyFill="1" applyBorder="1" applyAlignment="1" applyProtection="1">
      <alignment horizontal="left" vertical="top"/>
      <protection hidden="1"/>
    </xf>
    <xf numFmtId="0" fontId="24" fillId="0" borderId="137" xfId="0" applyNumberFormat="1" applyFont="1" applyFill="1" applyBorder="1" applyAlignment="1" applyProtection="1">
      <alignment horizontal="left" vertical="top"/>
      <protection hidden="1"/>
    </xf>
    <xf numFmtId="0" fontId="24" fillId="0" borderId="138" xfId="0" applyNumberFormat="1" applyFont="1" applyFill="1" applyBorder="1" applyAlignment="1" applyProtection="1">
      <alignment horizontal="left" vertical="top"/>
      <protection hidden="1"/>
    </xf>
    <xf numFmtId="0" fontId="24" fillId="0" borderId="157" xfId="0" applyNumberFormat="1" applyFont="1" applyFill="1" applyBorder="1" applyAlignment="1" applyProtection="1">
      <alignment horizontal="left" vertical="top"/>
      <protection hidden="1"/>
    </xf>
    <xf numFmtId="0" fontId="24" fillId="0" borderId="72" xfId="0" applyNumberFormat="1" applyFont="1" applyFill="1" applyBorder="1" applyAlignment="1" applyProtection="1">
      <alignment horizontal="left" vertical="top"/>
      <protection hidden="1"/>
    </xf>
    <xf numFmtId="0" fontId="17" fillId="179" borderId="194" xfId="259" applyNumberFormat="1" applyFont="1" applyFill="1" applyBorder="1" applyAlignment="1" applyProtection="1">
      <alignment horizontal="left"/>
      <protection hidden="1"/>
    </xf>
    <xf numFmtId="0" fontId="17" fillId="180" borderId="195" xfId="259" applyNumberFormat="1" applyFont="1" applyFill="1" applyBorder="1" applyAlignment="1" applyProtection="1">
      <alignment horizontal="left"/>
      <protection hidden="1"/>
    </xf>
    <xf numFmtId="0" fontId="17" fillId="178" borderId="193" xfId="259" applyNumberFormat="1" applyFont="1" applyFill="1" applyBorder="1" applyAlignment="1" applyProtection="1">
      <alignment horizontal="left"/>
      <protection hidden="1"/>
    </xf>
    <xf numFmtId="0" fontId="91" fillId="143" borderId="153" xfId="0" applyNumberFormat="1" applyFont="1" applyFill="1" applyBorder="1" applyAlignment="1" applyProtection="1">
      <alignment horizontal="center"/>
    </xf>
    <xf numFmtId="0" fontId="102" fillId="196" borderId="210" xfId="0" applyNumberFormat="1" applyFont="1" applyFill="1" applyBorder="1" applyAlignment="1" applyProtection="1"/>
    <xf numFmtId="0" fontId="148" fillId="196" borderId="210" xfId="0" applyNumberFormat="1" applyFont="1" applyFill="1" applyBorder="1" applyAlignment="1" applyProtection="1"/>
    <xf numFmtId="0" fontId="17" fillId="116" borderId="122" xfId="0" applyNumberFormat="1" applyFont="1" applyFill="1" applyBorder="1" applyAlignment="1" applyProtection="1">
      <alignment horizontal="left"/>
      <protection hidden="1"/>
    </xf>
    <xf numFmtId="0" fontId="17" fillId="114" borderId="120" xfId="0" applyNumberFormat="1" applyFont="1" applyFill="1" applyBorder="1" applyAlignment="1" applyProtection="1">
      <alignment horizontal="left"/>
      <protection hidden="1"/>
    </xf>
    <xf numFmtId="0" fontId="17" fillId="43" borderId="43" xfId="0" applyNumberFormat="1" applyFont="1" applyFill="1" applyBorder="1" applyAlignment="1" applyProtection="1">
      <alignment horizontal="left"/>
      <protection hidden="1"/>
    </xf>
    <xf numFmtId="0" fontId="17" fillId="114" borderId="120" xfId="0" applyNumberFormat="1" applyFont="1" applyFill="1" applyBorder="1" applyAlignment="1" applyProtection="1">
      <protection hidden="1"/>
    </xf>
    <xf numFmtId="0" fontId="17" fillId="0" borderId="221" xfId="0" applyNumberFormat="1" applyFont="1" applyFill="1" applyBorder="1" applyAlignment="1" applyProtection="1">
      <alignment horizontal="center"/>
      <protection hidden="1"/>
    </xf>
    <xf numFmtId="0" fontId="25" fillId="36" borderId="152" xfId="0" applyNumberFormat="1" applyFont="1" applyFill="1" applyBorder="1" applyAlignment="1" applyProtection="1">
      <alignment horizontal="left"/>
      <protection hidden="1"/>
    </xf>
    <xf numFmtId="0" fontId="105" fillId="36" borderId="35" xfId="14" applyNumberFormat="1" applyFont="1" applyFill="1" applyBorder="1" applyAlignment="1" applyProtection="1">
      <alignment horizontal="left"/>
      <protection hidden="1"/>
    </xf>
    <xf numFmtId="0" fontId="24" fillId="139" borderId="149" xfId="0" applyNumberFormat="1" applyFont="1" applyFill="1" applyBorder="1" applyAlignment="1" applyProtection="1">
      <protection hidden="1"/>
    </xf>
    <xf numFmtId="0" fontId="186" fillId="106" borderId="111" xfId="0" applyNumberFormat="1" applyFont="1" applyFill="1" applyBorder="1" applyAlignment="1" applyProtection="1"/>
    <xf numFmtId="0" fontId="186" fillId="173" borderId="188" xfId="0" applyNumberFormat="1" applyFont="1" applyFill="1" applyBorder="1" applyAlignment="1" applyProtection="1"/>
    <xf numFmtId="0" fontId="186" fillId="174" borderId="189" xfId="0" applyNumberFormat="1" applyFont="1" applyFill="1" applyBorder="1" applyAlignment="1" applyProtection="1"/>
    <xf numFmtId="0" fontId="186" fillId="107" borderId="112" xfId="0" applyNumberFormat="1" applyFont="1" applyFill="1" applyBorder="1" applyAlignment="1" applyProtection="1"/>
    <xf numFmtId="0" fontId="186" fillId="175" borderId="190" xfId="0" applyNumberFormat="1" applyFont="1" applyFill="1" applyBorder="1" applyAlignment="1" applyProtection="1"/>
    <xf numFmtId="0" fontId="186" fillId="176" borderId="191" xfId="0" applyNumberFormat="1" applyFont="1" applyFill="1" applyBorder="1" applyAlignment="1" applyProtection="1"/>
    <xf numFmtId="0" fontId="17" fillId="44" borderId="202" xfId="0" applyNumberFormat="1" applyFont="1" applyFill="1" applyBorder="1" applyAlignment="1" applyProtection="1">
      <alignment horizontal="right"/>
      <protection hidden="1"/>
    </xf>
    <xf numFmtId="0" fontId="17" fillId="44" borderId="210" xfId="0" applyNumberFormat="1" applyFont="1" applyFill="1" applyBorder="1" applyAlignment="1" applyProtection="1">
      <alignment horizontal="right"/>
      <protection hidden="1"/>
    </xf>
    <xf numFmtId="0" fontId="17" fillId="44" borderId="202" xfId="0" applyNumberFormat="1" applyFont="1" applyFill="1" applyBorder="1" applyAlignment="1" applyProtection="1">
      <alignment horizontal="left"/>
      <protection hidden="1"/>
    </xf>
    <xf numFmtId="0" fontId="17" fillId="44" borderId="210" xfId="0" applyNumberFormat="1" applyFont="1" applyFill="1" applyBorder="1" applyAlignment="1" applyProtection="1">
      <alignment horizontal="left"/>
      <protection hidden="1"/>
    </xf>
    <xf numFmtId="0" fontId="17" fillId="50" borderId="53" xfId="30" applyNumberFormat="1" applyFont="1" applyFill="1" applyBorder="1" applyAlignment="1" applyProtection="1">
      <alignment horizontal="right" wrapText="1"/>
      <protection hidden="1"/>
    </xf>
    <xf numFmtId="0" fontId="17" fillId="54" borderId="58" xfId="30" applyNumberFormat="1" applyFont="1" applyFill="1" applyBorder="1" applyAlignment="1" applyProtection="1">
      <alignment horizontal="right" wrapText="1"/>
      <protection hidden="1"/>
    </xf>
    <xf numFmtId="0" fontId="17" fillId="38" borderId="37" xfId="30" applyNumberFormat="1" applyFont="1" applyFill="1" applyBorder="1" applyAlignment="1" applyProtection="1">
      <alignment horizontal="right" wrapText="1"/>
      <protection hidden="1"/>
    </xf>
    <xf numFmtId="0" fontId="17" fillId="55" borderId="59" xfId="30" applyNumberFormat="1" applyFont="1" applyFill="1" applyBorder="1" applyAlignment="1" applyProtection="1">
      <alignment horizontal="right" wrapText="1"/>
      <protection hidden="1"/>
    </xf>
    <xf numFmtId="0" fontId="24" fillId="177" borderId="192" xfId="0" applyNumberFormat="1" applyFont="1" applyFill="1" applyBorder="1" applyAlignment="1" applyProtection="1">
      <protection locked="0"/>
    </xf>
    <xf numFmtId="0" fontId="17" fillId="178" borderId="193" xfId="0" applyNumberFormat="1" applyFont="1" applyFill="1" applyBorder="1" applyAlignment="1" applyProtection="1">
      <protection hidden="1"/>
    </xf>
    <xf numFmtId="0" fontId="147" fillId="178" borderId="193" xfId="0" applyNumberFormat="1" applyFont="1" applyFill="1" applyBorder="1" applyAlignment="1" applyProtection="1">
      <protection hidden="1"/>
    </xf>
    <xf numFmtId="0" fontId="143" fillId="178" borderId="193" xfId="0" applyNumberFormat="1" applyFont="1" applyFill="1" applyBorder="1" applyAlignment="1" applyProtection="1">
      <protection hidden="1"/>
    </xf>
    <xf numFmtId="0" fontId="17" fillId="179" borderId="194" xfId="0" applyNumberFormat="1" applyFont="1" applyFill="1" applyBorder="1" applyAlignment="1" applyProtection="1">
      <alignment horizontal="left"/>
      <protection hidden="1"/>
    </xf>
    <xf numFmtId="0" fontId="17" fillId="178" borderId="193" xfId="0" applyNumberFormat="1" applyFont="1" applyFill="1" applyBorder="1" applyAlignment="1" applyProtection="1">
      <alignment horizontal="left"/>
      <protection hidden="1"/>
    </xf>
    <xf numFmtId="0" fontId="25" fillId="36" borderId="152" xfId="30" applyNumberFormat="1" applyFont="1" applyFill="1" applyBorder="1" applyAlignment="1" applyProtection="1">
      <protection hidden="1"/>
    </xf>
    <xf numFmtId="0" fontId="17" fillId="49" borderId="238" xfId="30" applyNumberFormat="1" applyFont="1" applyFill="1" applyBorder="1" applyAlignment="1" applyProtection="1">
      <protection hidden="1"/>
    </xf>
    <xf numFmtId="0" fontId="17" fillId="171" borderId="185" xfId="30" applyNumberFormat="1" applyFont="1" applyFill="1" applyBorder="1" applyAlignment="1" applyProtection="1">
      <alignment horizontal="left"/>
      <protection locked="0"/>
    </xf>
    <xf numFmtId="0" fontId="17" fillId="172" borderId="186" xfId="30" applyNumberFormat="1" applyFont="1" applyFill="1" applyBorder="1" applyAlignment="1" applyProtection="1">
      <alignment horizontal="left"/>
      <protection locked="0"/>
    </xf>
    <xf numFmtId="0" fontId="91" fillId="106" borderId="213" xfId="0" applyNumberFormat="1" applyFont="1" applyFill="1" applyBorder="1" applyAlignment="1" applyProtection="1"/>
    <xf numFmtId="0" fontId="91" fillId="106" borderId="222" xfId="0" applyNumberFormat="1" applyFont="1" applyFill="1" applyBorder="1" applyAlignment="1" applyProtection="1"/>
    <xf numFmtId="0" fontId="17" fillId="50" borderId="213" xfId="0" applyNumberFormat="1" applyFont="1" applyFill="1" applyBorder="1" applyAlignment="1" applyProtection="1">
      <alignment horizontal="left"/>
      <protection hidden="1"/>
    </xf>
    <xf numFmtId="0" fontId="17" fillId="50" borderId="222" xfId="0" applyNumberFormat="1" applyFont="1" applyFill="1" applyBorder="1" applyAlignment="1" applyProtection="1">
      <alignment horizontal="left"/>
      <protection hidden="1"/>
    </xf>
    <xf numFmtId="0" fontId="17" fillId="60" borderId="64" xfId="30" applyNumberFormat="1" applyFont="1" applyFill="1" applyBorder="1" applyAlignment="1" applyProtection="1">
      <alignment horizontal="left"/>
      <protection locked="0"/>
    </xf>
    <xf numFmtId="0" fontId="17" fillId="93" borderId="97" xfId="30" applyNumberFormat="1" applyFont="1" applyFill="1" applyBorder="1" applyAlignment="1" applyProtection="1">
      <alignment horizontal="left"/>
      <protection locked="0"/>
    </xf>
    <xf numFmtId="0" fontId="60" fillId="84" borderId="91" xfId="0" applyNumberFormat="1" applyFont="1" applyFill="1" applyBorder="1" applyAlignment="1" applyProtection="1">
      <alignment horizontal="center"/>
      <protection hidden="1"/>
    </xf>
    <xf numFmtId="0" fontId="60" fillId="58" borderId="62" xfId="0" applyNumberFormat="1" applyFont="1" applyFill="1" applyBorder="1" applyAlignment="1" applyProtection="1">
      <alignment horizontal="center"/>
      <protection hidden="1"/>
    </xf>
    <xf numFmtId="0" fontId="60" fillId="67" borderId="74" xfId="0" applyNumberFormat="1" applyFont="1" applyFill="1" applyBorder="1" applyAlignment="1" applyProtection="1">
      <alignment horizontal="center"/>
      <protection hidden="1"/>
    </xf>
    <xf numFmtId="0" fontId="17" fillId="97" borderId="208" xfId="30" applyNumberFormat="1" applyFont="1" applyFill="1" applyBorder="1" applyAlignment="1" applyProtection="1">
      <alignment horizontal="left" wrapText="1"/>
      <protection hidden="1"/>
    </xf>
    <xf numFmtId="0" fontId="17" fillId="97" borderId="152" xfId="30" applyNumberFormat="1" applyFont="1" applyFill="1" applyBorder="1" applyAlignment="1" applyProtection="1">
      <alignment horizontal="left" wrapText="1"/>
      <protection hidden="1"/>
    </xf>
    <xf numFmtId="0" fontId="17" fillId="233" borderId="35" xfId="30" applyNumberFormat="1" applyFont="1" applyFill="1" applyBorder="1" applyAlignment="1" applyProtection="1">
      <alignment horizontal="left"/>
      <protection hidden="1"/>
    </xf>
    <xf numFmtId="0" fontId="17" fillId="171" borderId="185" xfId="0" applyNumberFormat="1" applyFont="1" applyFill="1" applyBorder="1" applyAlignment="1" applyProtection="1">
      <alignment horizontal="left"/>
      <protection locked="0"/>
    </xf>
    <xf numFmtId="0" fontId="17" fillId="172" borderId="186" xfId="0" applyNumberFormat="1" applyFont="1" applyFill="1" applyBorder="1" applyAlignment="1" applyProtection="1">
      <alignment horizontal="left"/>
      <protection locked="0"/>
    </xf>
    <xf numFmtId="0" fontId="17" fillId="171" borderId="185" xfId="0" applyNumberFormat="1" applyFont="1" applyFill="1" applyBorder="1" applyAlignment="1" applyProtection="1">
      <alignment horizontal="left" wrapText="1"/>
      <protection locked="0"/>
    </xf>
    <xf numFmtId="0" fontId="17" fillId="172" borderId="186" xfId="0" applyNumberFormat="1" applyFont="1" applyFill="1" applyBorder="1" applyAlignment="1" applyProtection="1">
      <alignment horizontal="left" wrapText="1"/>
      <protection locked="0"/>
    </xf>
    <xf numFmtId="0" fontId="17" fillId="99" borderId="104" xfId="0" applyNumberFormat="1" applyFont="1" applyFill="1" applyBorder="1" applyAlignment="1" applyProtection="1">
      <alignment horizontal="left"/>
      <protection locked="0"/>
    </xf>
    <xf numFmtId="0" fontId="17" fillId="73" borderId="80" xfId="0" applyNumberFormat="1" applyFont="1" applyFill="1" applyBorder="1" applyAlignment="1" applyProtection="1">
      <alignment horizontal="left"/>
      <protection locked="0"/>
    </xf>
    <xf numFmtId="0" fontId="42" fillId="50" borderId="213" xfId="0" applyNumberFormat="1" applyFont="1" applyFill="1" applyBorder="1" applyAlignment="1" applyProtection="1">
      <alignment horizontal="left"/>
      <protection hidden="1"/>
    </xf>
    <xf numFmtId="0" fontId="3" fillId="0" borderId="222" xfId="0" applyNumberFormat="1" applyFont="1" applyFill="1" applyBorder="1" applyAlignment="1" applyProtection="1">
      <protection hidden="1"/>
    </xf>
    <xf numFmtId="0" fontId="17" fillId="44" borderId="237" xfId="0" applyNumberFormat="1" applyFont="1" applyFill="1" applyBorder="1" applyAlignment="1" applyProtection="1">
      <alignment horizontal="right"/>
      <protection hidden="1"/>
    </xf>
    <xf numFmtId="0" fontId="17" fillId="44" borderId="212" xfId="0" applyNumberFormat="1" applyFont="1" applyFill="1" applyBorder="1" applyAlignment="1" applyProtection="1">
      <alignment horizontal="right"/>
      <protection hidden="1"/>
    </xf>
    <xf numFmtId="0" fontId="17" fillId="38" borderId="237" xfId="0" applyNumberFormat="1" applyFont="1" applyFill="1" applyBorder="1" applyAlignment="1" applyProtection="1">
      <alignment horizontal="left"/>
      <protection hidden="1"/>
    </xf>
    <xf numFmtId="0" fontId="17" fillId="38" borderId="212" xfId="0" applyNumberFormat="1" applyFont="1" applyFill="1" applyBorder="1" applyAlignment="1" applyProtection="1">
      <alignment horizontal="left"/>
      <protection hidden="1"/>
    </xf>
    <xf numFmtId="0" fontId="17" fillId="99" borderId="104" xfId="0" applyNumberFormat="1" applyFont="1" applyFill="1" applyBorder="1" applyAlignment="1" applyProtection="1">
      <protection locked="0"/>
    </xf>
    <xf numFmtId="0" fontId="17" fillId="73" borderId="80" xfId="0" applyNumberFormat="1" applyFont="1" applyFill="1" applyBorder="1" applyAlignment="1" applyProtection="1">
      <protection locked="0"/>
    </xf>
    <xf numFmtId="0" fontId="135" fillId="172" borderId="186" xfId="30" applyNumberFormat="1" applyFont="1" applyFill="1" applyBorder="1" applyAlignment="1" applyProtection="1">
      <alignment horizontal="left"/>
      <protection locked="0"/>
    </xf>
    <xf numFmtId="0" fontId="21" fillId="36" borderId="208" xfId="0" applyNumberFormat="1" applyFont="1" applyFill="1" applyBorder="1" applyAlignment="1" applyProtection="1">
      <alignment horizontal="center"/>
      <protection hidden="1"/>
    </xf>
    <xf numFmtId="0" fontId="17" fillId="199" borderId="213" xfId="30" applyNumberFormat="1" applyFont="1" applyFill="1" applyBorder="1" applyAlignment="1" applyProtection="1">
      <alignment horizontal="left"/>
      <protection locked="0"/>
    </xf>
    <xf numFmtId="0" fontId="135" fillId="200" borderId="214" xfId="30" applyNumberFormat="1" applyFont="1" applyFill="1" applyBorder="1" applyAlignment="1" applyProtection="1">
      <alignment horizontal="left"/>
      <protection locked="0"/>
    </xf>
    <xf numFmtId="0" fontId="17" fillId="84" borderId="140" xfId="30" applyNumberFormat="1" applyFont="1" applyFill="1" applyBorder="1" applyAlignment="1" applyProtection="1">
      <alignment horizontal="center"/>
      <protection hidden="1"/>
    </xf>
    <xf numFmtId="0" fontId="17" fillId="84" borderId="221" xfId="30" applyNumberFormat="1" applyFont="1" applyFill="1" applyBorder="1" applyAlignment="1" applyProtection="1">
      <alignment horizontal="center"/>
      <protection hidden="1"/>
    </xf>
    <xf numFmtId="0" fontId="90" fillId="36" borderId="35" xfId="30" applyNumberFormat="1" applyFont="1" applyFill="1" applyBorder="1" applyAlignment="1" applyProtection="1">
      <alignment horizontal="center" vertical="center" wrapText="1"/>
      <protection hidden="1"/>
    </xf>
    <xf numFmtId="0" fontId="71" fillId="97" borderId="101" xfId="30" applyNumberFormat="1" applyFont="1" applyFill="1" applyBorder="1" applyAlignment="1" applyProtection="1">
      <alignment horizontal="center" vertical="top" wrapText="1"/>
      <protection hidden="1"/>
    </xf>
    <xf numFmtId="0" fontId="71" fillId="36" borderId="35" xfId="30" applyNumberFormat="1" applyFont="1" applyFill="1" applyBorder="1" applyAlignment="1" applyProtection="1">
      <alignment horizontal="center" vertical="top" wrapText="1"/>
      <protection hidden="1"/>
    </xf>
    <xf numFmtId="0" fontId="25" fillId="43" borderId="43" xfId="30" applyNumberFormat="1" applyFont="1" applyFill="1" applyBorder="1" applyAlignment="1" applyProtection="1">
      <alignment horizontal="left"/>
      <protection hidden="1"/>
    </xf>
    <xf numFmtId="0" fontId="144" fillId="43" borderId="43" xfId="30" applyNumberFormat="1" applyFont="1" applyFill="1" applyBorder="1" applyAlignment="1" applyProtection="1">
      <alignment horizontal="left"/>
      <protection hidden="1"/>
    </xf>
    <xf numFmtId="0" fontId="7" fillId="50" borderId="53" xfId="30" applyNumberFormat="1" applyFont="1" applyFill="1" applyBorder="1" applyAlignment="1" applyProtection="1">
      <protection hidden="1"/>
    </xf>
    <xf numFmtId="0" fontId="138" fillId="54" borderId="58" xfId="30" applyNumberFormat="1" applyFont="1" applyFill="1" applyBorder="1" applyAlignment="1" applyProtection="1">
      <protection hidden="1"/>
    </xf>
    <xf numFmtId="0" fontId="17" fillId="0" borderId="213" xfId="0" applyNumberFormat="1" applyFont="1" applyFill="1" applyBorder="1" applyAlignment="1" applyProtection="1">
      <alignment horizontal="center"/>
      <protection hidden="1"/>
    </xf>
    <xf numFmtId="0" fontId="17" fillId="0" borderId="222" xfId="0" applyNumberFormat="1" applyFont="1" applyFill="1" applyBorder="1" applyAlignment="1" applyProtection="1">
      <alignment horizontal="center"/>
      <protection hidden="1"/>
    </xf>
    <xf numFmtId="0" fontId="7" fillId="38" borderId="37" xfId="30" applyNumberFormat="1" applyFont="1" applyFill="1" applyBorder="1" applyAlignment="1" applyProtection="1">
      <protection hidden="1"/>
    </xf>
    <xf numFmtId="0" fontId="136" fillId="49" borderId="52" xfId="30" applyNumberFormat="1" applyFont="1" applyFill="1" applyBorder="1" applyAlignment="1" applyProtection="1">
      <protection hidden="1"/>
    </xf>
    <xf numFmtId="0" fontId="17" fillId="38" borderId="237" xfId="30" applyNumberFormat="1" applyFont="1" applyFill="1" applyBorder="1" applyAlignment="1" applyProtection="1">
      <alignment horizontal="center"/>
      <protection hidden="1"/>
    </xf>
    <xf numFmtId="0" fontId="137" fillId="55" borderId="212" xfId="30" applyNumberFormat="1" applyFont="1" applyFill="1" applyBorder="1" applyAlignment="1" applyProtection="1">
      <alignment horizontal="center"/>
      <protection hidden="1"/>
    </xf>
    <xf numFmtId="0" fontId="30" fillId="97" borderId="101" xfId="30" applyNumberFormat="1" applyFont="1" applyFill="1" applyBorder="1" applyAlignment="1" applyProtection="1">
      <protection hidden="1"/>
    </xf>
    <xf numFmtId="0" fontId="146" fillId="97" borderId="101" xfId="30" applyNumberFormat="1" applyFont="1" applyFill="1" applyBorder="1" applyAlignment="1" applyProtection="1">
      <protection hidden="1"/>
    </xf>
    <xf numFmtId="0" fontId="29" fillId="183" borderId="198" xfId="30" applyNumberFormat="1" applyFont="1" applyFill="1" applyBorder="1" applyAlignment="1" applyProtection="1">
      <alignment horizontal="center"/>
      <protection hidden="1"/>
    </xf>
    <xf numFmtId="0" fontId="29" fillId="10" borderId="9" xfId="30" applyNumberFormat="1" applyFont="1" applyFill="1" applyBorder="1" applyAlignment="1" applyProtection="1">
      <alignment horizontal="center"/>
      <protection hidden="1"/>
    </xf>
    <xf numFmtId="0" fontId="29" fillId="157" borderId="171" xfId="30" applyNumberFormat="1" applyFont="1" applyFill="1" applyBorder="1" applyAlignment="1" applyProtection="1">
      <alignment horizontal="center"/>
      <protection hidden="1"/>
    </xf>
    <xf numFmtId="0" fontId="17" fillId="184" borderId="199" xfId="30" applyNumberFormat="1" applyFont="1" applyFill="1" applyBorder="1" applyAlignment="1" applyProtection="1">
      <alignment horizontal="center"/>
      <protection hidden="1"/>
    </xf>
    <xf numFmtId="0" fontId="17" fillId="11" borderId="10" xfId="30" applyNumberFormat="1" applyFont="1" applyFill="1" applyBorder="1" applyAlignment="1" applyProtection="1">
      <alignment horizontal="center"/>
      <protection hidden="1"/>
    </xf>
    <xf numFmtId="0" fontId="17" fillId="158" borderId="172" xfId="30" applyNumberFormat="1" applyFont="1" applyFill="1" applyBorder="1" applyAlignment="1" applyProtection="1">
      <alignment horizontal="center"/>
      <protection hidden="1"/>
    </xf>
    <xf numFmtId="0" fontId="17" fillId="43" borderId="43" xfId="30" applyNumberFormat="1" applyFont="1" applyFill="1" applyBorder="1" applyAlignment="1" applyProtection="1">
      <alignment horizontal="left" vertical="top" wrapText="1"/>
      <protection hidden="1"/>
    </xf>
    <xf numFmtId="0" fontId="47" fillId="187" borderId="202" xfId="0" applyNumberFormat="1" applyFont="1" applyFill="1" applyBorder="1" applyAlignment="1" applyProtection="1">
      <alignment horizontal="center"/>
      <protection hidden="1"/>
    </xf>
    <xf numFmtId="0" fontId="47" fillId="13" borderId="12" xfId="0" applyNumberFormat="1" applyFont="1" applyFill="1" applyBorder="1" applyAlignment="1" applyProtection="1">
      <alignment horizontal="center"/>
      <protection hidden="1"/>
    </xf>
    <xf numFmtId="0" fontId="47" fillId="188" borderId="203" xfId="0" applyNumberFormat="1" applyFont="1" applyFill="1" applyBorder="1" applyAlignment="1" applyProtection="1">
      <alignment horizontal="center"/>
      <protection hidden="1"/>
    </xf>
    <xf numFmtId="0" fontId="47" fillId="185" borderId="200" xfId="0" applyNumberFormat="1" applyFont="1" applyFill="1" applyBorder="1" applyAlignment="1" applyProtection="1">
      <alignment horizontal="center"/>
      <protection hidden="1"/>
    </xf>
    <xf numFmtId="0" fontId="47" fillId="186" borderId="201" xfId="0" applyNumberFormat="1" applyFont="1" applyFill="1" applyBorder="1" applyAlignment="1" applyProtection="1">
      <alignment horizontal="center"/>
      <protection hidden="1"/>
    </xf>
    <xf numFmtId="0" fontId="47" fillId="159" borderId="173" xfId="0" applyNumberFormat="1" applyFont="1" applyFill="1" applyBorder="1" applyAlignment="1" applyProtection="1">
      <alignment horizontal="center"/>
      <protection hidden="1"/>
    </xf>
    <xf numFmtId="0" fontId="3" fillId="54" borderId="222" xfId="30" applyNumberFormat="1" applyFont="1" applyFill="1" applyBorder="1" applyAlignment="1" applyProtection="1">
      <alignment horizontal="center"/>
      <protection hidden="1"/>
    </xf>
    <xf numFmtId="0" fontId="3" fillId="54" borderId="241" xfId="30" applyNumberFormat="1" applyFont="1" applyFill="1" applyBorder="1" applyAlignment="1" applyProtection="1">
      <alignment horizontal="center"/>
      <protection hidden="1"/>
    </xf>
    <xf numFmtId="0" fontId="29" fillId="183" borderId="202" xfId="30" applyNumberFormat="1" applyFont="1" applyFill="1" applyBorder="1" applyAlignment="1" applyProtection="1">
      <alignment horizontal="center" wrapText="1"/>
      <protection hidden="1"/>
    </xf>
    <xf numFmtId="0" fontId="29" fillId="183" borderId="152" xfId="30" applyNumberFormat="1" applyFont="1" applyFill="1" applyBorder="1" applyAlignment="1" applyProtection="1">
      <alignment horizontal="center" wrapText="1"/>
      <protection hidden="1"/>
    </xf>
    <xf numFmtId="0" fontId="29" fillId="183" borderId="210" xfId="30" applyNumberFormat="1" applyFont="1" applyFill="1" applyBorder="1" applyAlignment="1" applyProtection="1">
      <alignment horizontal="center" wrapText="1"/>
      <protection hidden="1"/>
    </xf>
    <xf numFmtId="0" fontId="17" fillId="184" borderId="202" xfId="30" applyNumberFormat="1" applyFont="1" applyFill="1" applyBorder="1" applyAlignment="1" applyProtection="1">
      <alignment horizontal="center"/>
      <protection hidden="1"/>
    </xf>
    <xf numFmtId="0" fontId="17" fillId="184" borderId="152" xfId="30" applyNumberFormat="1" applyFont="1" applyFill="1" applyBorder="1" applyAlignment="1" applyProtection="1">
      <alignment horizontal="center"/>
      <protection hidden="1"/>
    </xf>
    <xf numFmtId="0" fontId="17" fillId="184" borderId="210" xfId="30" applyNumberFormat="1" applyFont="1" applyFill="1" applyBorder="1" applyAlignment="1" applyProtection="1">
      <alignment horizontal="center"/>
      <protection hidden="1"/>
    </xf>
    <xf numFmtId="0" fontId="17" fillId="193" borderId="202" xfId="30" applyNumberFormat="1" applyFont="1" applyFill="1" applyBorder="1" applyAlignment="1" applyProtection="1">
      <alignment horizontal="center" vertical="center"/>
      <protection hidden="1"/>
    </xf>
    <xf numFmtId="0" fontId="17" fillId="194" borderId="152" xfId="30" applyNumberFormat="1" applyFont="1" applyFill="1" applyBorder="1" applyAlignment="1" applyProtection="1">
      <alignment horizontal="center" vertical="center"/>
      <protection hidden="1"/>
    </xf>
    <xf numFmtId="0" fontId="17" fillId="195" borderId="210" xfId="30" applyNumberFormat="1" applyFont="1" applyFill="1" applyBorder="1" applyAlignment="1" applyProtection="1">
      <alignment horizontal="center" vertical="center"/>
      <protection hidden="1"/>
    </xf>
    <xf numFmtId="0" fontId="47" fillId="185" borderId="237" xfId="0" applyNumberFormat="1" applyFont="1" applyFill="1" applyBorder="1" applyAlignment="1" applyProtection="1">
      <alignment horizontal="center"/>
      <protection hidden="1"/>
    </xf>
    <xf numFmtId="0" fontId="47" fillId="185" borderId="238" xfId="0" applyNumberFormat="1" applyFont="1" applyFill="1" applyBorder="1" applyAlignment="1" applyProtection="1">
      <alignment horizontal="center"/>
      <protection hidden="1"/>
    </xf>
    <xf numFmtId="0" fontId="47" fillId="185" borderId="212" xfId="0" applyNumberFormat="1" applyFont="1" applyFill="1" applyBorder="1" applyAlignment="1" applyProtection="1">
      <alignment horizontal="center"/>
      <protection hidden="1"/>
    </xf>
    <xf numFmtId="0" fontId="17" fillId="182" borderId="197" xfId="30" applyNumberFormat="1" applyFont="1" applyFill="1" applyBorder="1" applyAlignment="1" applyProtection="1">
      <alignment horizontal="center"/>
      <protection hidden="1"/>
    </xf>
    <xf numFmtId="0" fontId="17" fillId="6" borderId="5" xfId="30" applyNumberFormat="1" applyFont="1" applyFill="1" applyBorder="1" applyAlignment="1" applyProtection="1">
      <alignment horizontal="center"/>
      <protection hidden="1"/>
    </xf>
    <xf numFmtId="0" fontId="17" fillId="156" borderId="170" xfId="30" applyNumberFormat="1" applyFont="1" applyFill="1" applyBorder="1" applyAlignment="1" applyProtection="1">
      <alignment horizontal="center"/>
      <protection hidden="1"/>
    </xf>
    <xf numFmtId="0" fontId="17" fillId="191" borderId="206" xfId="0" applyNumberFormat="1" applyFont="1" applyFill="1" applyBorder="1" applyAlignment="1" applyProtection="1">
      <protection hidden="1"/>
    </xf>
    <xf numFmtId="0" fontId="17" fillId="192" borderId="207" xfId="0" applyNumberFormat="1" applyFont="1" applyFill="1" applyBorder="1" applyAlignment="1" applyProtection="1">
      <protection hidden="1"/>
    </xf>
    <xf numFmtId="0" fontId="17" fillId="189" borderId="204" xfId="30" applyNumberFormat="1" applyFont="1" applyFill="1" applyBorder="1" applyAlignment="1" applyProtection="1">
      <protection hidden="1"/>
    </xf>
    <xf numFmtId="0" fontId="17" fillId="190" borderId="205" xfId="30" applyNumberFormat="1" applyFont="1" applyFill="1" applyBorder="1" applyAlignment="1" applyProtection="1">
      <protection hidden="1"/>
    </xf>
    <xf numFmtId="165" fontId="17" fillId="197" borderId="211" xfId="0" applyNumberFormat="1" applyFont="1" applyFill="1" applyBorder="1" applyAlignment="1" applyProtection="1">
      <alignment horizontal="center"/>
      <protection hidden="1"/>
    </xf>
    <xf numFmtId="165" fontId="143" fillId="198" borderId="212" xfId="0" applyNumberFormat="1" applyFont="1" applyFill="1" applyBorder="1" applyAlignment="1" applyProtection="1">
      <alignment horizontal="center"/>
      <protection hidden="1"/>
    </xf>
    <xf numFmtId="0" fontId="17" fillId="189" borderId="204" xfId="0" applyNumberFormat="1" applyFont="1" applyFill="1" applyBorder="1" applyAlignment="1" applyProtection="1">
      <protection hidden="1"/>
    </xf>
    <xf numFmtId="0" fontId="17" fillId="190" borderId="205" xfId="0" applyNumberFormat="1" applyFont="1" applyFill="1" applyBorder="1" applyAlignment="1" applyProtection="1">
      <protection hidden="1"/>
    </xf>
    <xf numFmtId="0" fontId="17" fillId="222" borderId="213" xfId="30" applyNumberFormat="1" applyFont="1" applyFill="1" applyBorder="1" applyAlignment="1" applyProtection="1">
      <alignment horizontal="center" wrapText="1"/>
      <protection hidden="1"/>
    </xf>
    <xf numFmtId="0" fontId="17" fillId="222" borderId="208" xfId="30" applyNumberFormat="1" applyFont="1" applyFill="1" applyBorder="1" applyAlignment="1" applyProtection="1">
      <alignment horizontal="center" wrapText="1"/>
      <protection hidden="1"/>
    </xf>
    <xf numFmtId="0" fontId="17" fillId="222" borderId="222" xfId="30" applyNumberFormat="1" applyFont="1" applyFill="1" applyBorder="1" applyAlignment="1" applyProtection="1">
      <alignment horizontal="center" wrapText="1"/>
      <protection hidden="1"/>
    </xf>
    <xf numFmtId="0" fontId="3" fillId="50" borderId="213" xfId="30" applyNumberFormat="1" applyFont="1" applyFill="1" applyBorder="1" applyAlignment="1" applyProtection="1">
      <alignment horizontal="center"/>
      <protection hidden="1"/>
    </xf>
    <xf numFmtId="0" fontId="3" fillId="50" borderId="239" xfId="30" applyNumberFormat="1" applyFont="1" applyFill="1" applyBorder="1" applyAlignment="1" applyProtection="1">
      <alignment horizontal="center"/>
      <protection hidden="1"/>
    </xf>
    <xf numFmtId="0" fontId="24" fillId="97" borderId="213" xfId="30" applyNumberFormat="1" applyFont="1" applyFill="1" applyBorder="1" applyAlignment="1" applyProtection="1">
      <alignment horizontal="center" vertical="center"/>
      <protection hidden="1"/>
    </xf>
    <xf numFmtId="0" fontId="3" fillId="0" borderId="208" xfId="0" applyNumberFormat="1" applyFont="1" applyFill="1" applyBorder="1" applyAlignment="1" applyProtection="1">
      <protection hidden="1"/>
    </xf>
    <xf numFmtId="0" fontId="3" fillId="0" borderId="239" xfId="0" applyNumberFormat="1" applyFont="1" applyFill="1" applyBorder="1" applyAlignment="1" applyProtection="1">
      <protection hidden="1"/>
    </xf>
    <xf numFmtId="0" fontId="3" fillId="0" borderId="240" xfId="0" applyNumberFormat="1" applyFont="1" applyFill="1" applyBorder="1" applyAlignment="1" applyProtection="1">
      <protection hidden="1"/>
    </xf>
    <xf numFmtId="0" fontId="3" fillId="0" borderId="241" xfId="0" applyNumberFormat="1" applyFont="1" applyFill="1" applyBorder="1" applyAlignment="1" applyProtection="1">
      <protection hidden="1"/>
    </xf>
    <xf numFmtId="0" fontId="17" fillId="36" borderId="140" xfId="0" applyNumberFormat="1" applyFont="1" applyFill="1" applyBorder="1" applyAlignment="1" applyProtection="1">
      <protection hidden="1"/>
    </xf>
    <xf numFmtId="0" fontId="17" fillId="36" borderId="221" xfId="0" applyNumberFormat="1" applyFont="1" applyFill="1" applyBorder="1" applyAlignment="1" applyProtection="1">
      <protection hidden="1"/>
    </xf>
    <xf numFmtId="0" fontId="17" fillId="36" borderId="140" xfId="0" applyNumberFormat="1" applyFont="1" applyFill="1" applyBorder="1" applyAlignment="1" applyProtection="1">
      <alignment horizontal="left"/>
      <protection hidden="1"/>
    </xf>
    <xf numFmtId="0" fontId="17" fillId="36" borderId="236" xfId="0" applyNumberFormat="1" applyFont="1" applyFill="1" applyBorder="1" applyAlignment="1" applyProtection="1">
      <alignment horizontal="left"/>
      <protection hidden="1"/>
    </xf>
    <xf numFmtId="0" fontId="17" fillId="36" borderId="221" xfId="0" applyNumberFormat="1" applyFont="1" applyFill="1" applyBorder="1" applyAlignment="1" applyProtection="1">
      <alignment horizontal="left"/>
      <protection hidden="1"/>
    </xf>
    <xf numFmtId="0" fontId="25" fillId="0" borderId="152" xfId="0" applyNumberFormat="1" applyFont="1" applyFill="1" applyBorder="1" applyAlignment="1" applyProtection="1">
      <alignment horizontal="left"/>
      <protection hidden="1"/>
    </xf>
    <xf numFmtId="0" fontId="24" fillId="49" borderId="52" xfId="30" applyNumberFormat="1" applyFont="1" applyFill="1" applyBorder="1" applyAlignment="1" applyProtection="1">
      <alignment horizontal="left"/>
      <protection hidden="1"/>
    </xf>
    <xf numFmtId="0" fontId="17" fillId="97" borderId="101" xfId="30" applyNumberFormat="1" applyFont="1" applyFill="1" applyBorder="1" applyAlignment="1" applyProtection="1">
      <alignment horizontal="center" wrapText="1"/>
      <protection hidden="1"/>
    </xf>
    <xf numFmtId="0" fontId="17" fillId="54" borderId="58" xfId="30" applyNumberFormat="1" applyFont="1" applyFill="1" applyBorder="1" applyAlignment="1" applyProtection="1">
      <alignment horizontal="center" wrapText="1"/>
      <protection hidden="1"/>
    </xf>
    <xf numFmtId="170" fontId="101" fillId="106" borderId="111" xfId="30" applyNumberFormat="1" applyFont="1" applyFill="1" applyBorder="1" applyAlignment="1" applyProtection="1"/>
    <xf numFmtId="170" fontId="101" fillId="174" borderId="189" xfId="30" applyNumberFormat="1" applyFont="1" applyFill="1" applyBorder="1" applyAlignment="1" applyProtection="1"/>
    <xf numFmtId="170" fontId="101" fillId="107" borderId="112" xfId="30" applyNumberFormat="1" applyFont="1" applyFill="1" applyBorder="1" applyAlignment="1" applyProtection="1"/>
    <xf numFmtId="170" fontId="101" fillId="176" borderId="191" xfId="30" applyNumberFormat="1" applyFont="1" applyFill="1" applyBorder="1" applyAlignment="1" applyProtection="1"/>
    <xf numFmtId="0" fontId="17" fillId="97" borderId="101" xfId="30" applyNumberFormat="1" applyFont="1" applyFill="1" applyBorder="1" applyAlignment="1" applyProtection="1">
      <alignment horizontal="center"/>
      <protection hidden="1"/>
    </xf>
    <xf numFmtId="0" fontId="149" fillId="54" borderId="58" xfId="30" applyNumberFormat="1" applyFont="1" applyFill="1" applyBorder="1" applyAlignment="1" applyProtection="1">
      <alignment horizontal="center"/>
      <protection hidden="1"/>
    </xf>
    <xf numFmtId="0" fontId="21" fillId="36" borderId="35" xfId="0" applyNumberFormat="1" applyFont="1" applyFill="1" applyBorder="1" applyAlignment="1" applyProtection="1">
      <alignment horizontal="center" vertical="center"/>
      <protection hidden="1"/>
    </xf>
    <xf numFmtId="0" fontId="17" fillId="36" borderId="140" xfId="30" applyNumberFormat="1" applyFont="1" applyFill="1" applyBorder="1" applyAlignment="1" applyProtection="1">
      <protection hidden="1"/>
    </xf>
    <xf numFmtId="0" fontId="17" fillId="36" borderId="221" xfId="30" applyNumberFormat="1" applyFont="1" applyFill="1" applyBorder="1" applyAlignment="1" applyProtection="1">
      <protection hidden="1"/>
    </xf>
    <xf numFmtId="0" fontId="17" fillId="36" borderId="140" xfId="30" applyNumberFormat="1" applyFont="1" applyFill="1" applyBorder="1" applyAlignment="1" applyProtection="1">
      <alignment horizontal="left"/>
      <protection hidden="1"/>
    </xf>
    <xf numFmtId="0" fontId="17" fillId="36" borderId="236" xfId="30" applyNumberFormat="1" applyFont="1" applyFill="1" applyBorder="1" applyAlignment="1" applyProtection="1">
      <alignment horizontal="left"/>
      <protection hidden="1"/>
    </xf>
    <xf numFmtId="0" fontId="17" fillId="36" borderId="221" xfId="30" applyNumberFormat="1" applyFont="1" applyFill="1" applyBorder="1" applyAlignment="1" applyProtection="1">
      <alignment horizontal="left"/>
      <protection hidden="1"/>
    </xf>
    <xf numFmtId="0" fontId="83" fillId="38" borderId="37" xfId="0" applyNumberFormat="1" applyFont="1" applyFill="1" applyBorder="1" applyAlignment="1" applyProtection="1">
      <alignment horizontal="center"/>
      <protection hidden="1"/>
    </xf>
    <xf numFmtId="0" fontId="83" fillId="55" borderId="59" xfId="0" applyNumberFormat="1" applyFont="1" applyFill="1" applyBorder="1" applyAlignment="1" applyProtection="1">
      <alignment horizontal="center"/>
      <protection hidden="1"/>
    </xf>
    <xf numFmtId="2" fontId="17" fillId="50" borderId="53" xfId="30" applyNumberFormat="1" applyFont="1" applyFill="1" applyBorder="1" applyAlignment="1" applyProtection="1">
      <alignment horizontal="center"/>
      <protection hidden="1"/>
    </xf>
    <xf numFmtId="2" fontId="17" fillId="97" borderId="101" xfId="30" applyNumberFormat="1" applyFont="1" applyFill="1" applyBorder="1" applyAlignment="1" applyProtection="1">
      <alignment horizontal="center"/>
      <protection hidden="1"/>
    </xf>
    <xf numFmtId="2" fontId="122" fillId="54" borderId="58" xfId="30" applyNumberFormat="1" applyFont="1" applyFill="1" applyBorder="1" applyAlignment="1" applyProtection="1">
      <alignment horizontal="center"/>
      <protection hidden="1"/>
    </xf>
    <xf numFmtId="2" fontId="17" fillId="50" borderId="53" xfId="0" applyNumberFormat="1" applyFont="1" applyFill="1" applyBorder="1" applyAlignment="1" applyProtection="1">
      <alignment horizontal="center"/>
      <protection hidden="1"/>
    </xf>
    <xf numFmtId="2" fontId="17" fillId="54" borderId="58" xfId="0" applyNumberFormat="1" applyFont="1" applyFill="1" applyBorder="1" applyAlignment="1" applyProtection="1">
      <alignment horizontal="center"/>
      <protection hidden="1"/>
    </xf>
    <xf numFmtId="0" fontId="83" fillId="50" borderId="53" xfId="0" applyNumberFormat="1" applyFont="1" applyFill="1" applyBorder="1" applyAlignment="1" applyProtection="1">
      <alignment horizontal="center"/>
      <protection hidden="1"/>
    </xf>
    <xf numFmtId="0" fontId="83" fillId="54" borderId="58" xfId="0" applyNumberFormat="1" applyFont="1" applyFill="1" applyBorder="1" applyAlignment="1" applyProtection="1">
      <alignment horizontal="center"/>
      <protection hidden="1"/>
    </xf>
    <xf numFmtId="0" fontId="17" fillId="0" borderId="102" xfId="0" applyNumberFormat="1" applyFont="1" applyFill="1" applyBorder="1" applyAlignment="1" applyProtection="1">
      <alignment horizontal="center"/>
      <protection hidden="1"/>
    </xf>
    <xf numFmtId="0" fontId="17" fillId="0" borderId="54" xfId="0" applyNumberFormat="1" applyFont="1" applyFill="1" applyBorder="1" applyAlignment="1" applyProtection="1">
      <alignment horizontal="center"/>
      <protection hidden="1"/>
    </xf>
    <xf numFmtId="0" fontId="83" fillId="38" borderId="37" xfId="0" applyNumberFormat="1" applyFont="1" applyFill="1" applyBorder="1" applyAlignment="1" applyProtection="1">
      <alignment horizontal="center" wrapText="1"/>
      <protection hidden="1"/>
    </xf>
    <xf numFmtId="0" fontId="83" fillId="55" borderId="59" xfId="0" applyNumberFormat="1" applyFont="1" applyFill="1" applyBorder="1" applyAlignment="1" applyProtection="1">
      <alignment horizontal="center" wrapText="1"/>
      <protection hidden="1"/>
    </xf>
    <xf numFmtId="2" fontId="50" fillId="220" borderId="238" xfId="33" applyNumberFormat="1" applyFont="1" applyFill="1" applyBorder="1" applyAlignment="1" applyProtection="1">
      <alignment horizontal="center"/>
      <protection hidden="1"/>
    </xf>
    <xf numFmtId="166" fontId="17" fillId="38" borderId="37" xfId="32" applyNumberFormat="1" applyFont="1" applyFill="1" applyBorder="1" applyAlignment="1" applyProtection="1">
      <alignment horizontal="center"/>
      <protection hidden="1"/>
    </xf>
    <xf numFmtId="166" fontId="17" fillId="55" borderId="59" xfId="32" applyNumberFormat="1" applyFont="1" applyFill="1" applyBorder="1" applyAlignment="1" applyProtection="1">
      <alignment horizontal="center"/>
      <protection hidden="1"/>
    </xf>
    <xf numFmtId="0" fontId="21" fillId="97" borderId="101" xfId="0" applyNumberFormat="1" applyFont="1" applyFill="1" applyBorder="1" applyAlignment="1" applyProtection="1">
      <alignment horizontal="center" vertical="center"/>
      <protection hidden="1"/>
    </xf>
    <xf numFmtId="0" fontId="17" fillId="36" borderId="35" xfId="0" applyNumberFormat="1" applyFont="1" applyFill="1" applyBorder="1" applyAlignment="1" applyProtection="1">
      <alignment horizontal="center"/>
      <protection hidden="1"/>
    </xf>
    <xf numFmtId="0" fontId="171" fillId="226" borderId="140" xfId="259" applyFont="1" applyFill="1" applyBorder="1" applyAlignment="1" applyProtection="1">
      <alignment horizontal="left"/>
      <protection hidden="1"/>
    </xf>
    <xf numFmtId="0" fontId="171" fillId="226" borderId="236" xfId="259" applyFont="1" applyFill="1" applyBorder="1" applyAlignment="1" applyProtection="1">
      <alignment horizontal="left"/>
      <protection hidden="1"/>
    </xf>
    <xf numFmtId="0" fontId="25" fillId="36" borderId="35" xfId="29" applyNumberFormat="1" applyFont="1" applyFill="1" applyBorder="1" applyAlignment="1" applyProtection="1">
      <protection hidden="1"/>
    </xf>
    <xf numFmtId="0" fontId="134" fillId="36" borderId="35" xfId="29" applyNumberFormat="1" applyFont="1" applyFill="1" applyBorder="1" applyAlignment="1" applyProtection="1">
      <protection hidden="1"/>
    </xf>
    <xf numFmtId="0" fontId="17" fillId="97" borderId="101" xfId="33" applyNumberFormat="1" applyFont="1" applyFill="1" applyBorder="1" applyAlignment="1" applyProtection="1">
      <alignment horizontal="center" vertical="center" wrapText="1"/>
      <protection hidden="1"/>
    </xf>
    <xf numFmtId="0" fontId="17" fillId="50" borderId="53" xfId="0" applyNumberFormat="1" applyFont="1" applyFill="1" applyBorder="1" applyAlignment="1" applyProtection="1">
      <alignment horizontal="center"/>
      <protection hidden="1"/>
    </xf>
    <xf numFmtId="0" fontId="17" fillId="54" borderId="58" xfId="0" applyNumberFormat="1" applyFont="1" applyFill="1" applyBorder="1" applyAlignment="1" applyProtection="1">
      <alignment horizontal="center"/>
      <protection hidden="1"/>
    </xf>
    <xf numFmtId="0" fontId="17" fillId="36" borderId="35" xfId="0" applyNumberFormat="1" applyFont="1" applyFill="1" applyBorder="1" applyAlignment="1" applyProtection="1">
      <alignment horizontal="right"/>
      <protection hidden="1"/>
    </xf>
    <xf numFmtId="0" fontId="17" fillId="47" borderId="50" xfId="0" applyNumberFormat="1" applyFont="1" applyFill="1" applyBorder="1" applyAlignment="1" applyProtection="1">
      <alignment horizontal="center"/>
      <protection locked="0"/>
    </xf>
    <xf numFmtId="0" fontId="17" fillId="201" borderId="215" xfId="0" applyNumberFormat="1" applyFont="1" applyFill="1" applyBorder="1" applyAlignment="1" applyProtection="1">
      <alignment horizontal="center"/>
      <protection locked="0"/>
    </xf>
    <xf numFmtId="0" fontId="17" fillId="46" borderId="47" xfId="0" applyNumberFormat="1" applyFont="1" applyFill="1" applyBorder="1" applyAlignment="1" applyProtection="1">
      <alignment horizontal="center"/>
      <protection locked="0"/>
    </xf>
    <xf numFmtId="2" fontId="17" fillId="0" borderId="66" xfId="0" applyNumberFormat="1" applyFont="1" applyFill="1" applyBorder="1" applyAlignment="1" applyProtection="1">
      <alignment horizontal="center"/>
      <protection hidden="1"/>
    </xf>
    <xf numFmtId="2" fontId="17" fillId="0" borderId="117" xfId="0" applyNumberFormat="1" applyFont="1" applyFill="1" applyBorder="1" applyAlignment="1" applyProtection="1">
      <alignment horizontal="center"/>
      <protection hidden="1"/>
    </xf>
    <xf numFmtId="2" fontId="17" fillId="0" borderId="46" xfId="0" applyNumberFormat="1" applyFont="1" applyFill="1" applyBorder="1" applyAlignment="1" applyProtection="1">
      <alignment horizontal="center"/>
      <protection hidden="1"/>
    </xf>
    <xf numFmtId="164" fontId="17" fillId="36" borderId="152" xfId="13" applyNumberFormat="1" applyFont="1" applyFill="1" applyBorder="1" applyAlignment="1" applyProtection="1">
      <alignment horizontal="center" wrapText="1"/>
      <protection hidden="1"/>
    </xf>
    <xf numFmtId="0" fontId="99" fillId="0" borderId="72" xfId="0" applyNumberFormat="1" applyFont="1" applyFill="1" applyBorder="1" applyAlignment="1" applyProtection="1">
      <alignment horizontal="left"/>
      <protection hidden="1"/>
    </xf>
    <xf numFmtId="0" fontId="99" fillId="0" borderId="49" xfId="0" applyNumberFormat="1" applyFont="1" applyFill="1" applyBorder="1" applyAlignment="1" applyProtection="1">
      <alignment horizontal="left"/>
      <protection hidden="1"/>
    </xf>
    <xf numFmtId="0" fontId="99" fillId="0" borderId="138" xfId="0" applyNumberFormat="1" applyFont="1" applyFill="1" applyBorder="1" applyAlignment="1" applyProtection="1">
      <alignment horizontal="left"/>
      <protection hidden="1"/>
    </xf>
    <xf numFmtId="0" fontId="17" fillId="138" borderId="148" xfId="0" applyNumberFormat="1" applyFont="1" applyFill="1" applyBorder="1" applyAlignment="1" applyProtection="1">
      <alignment horizontal="left"/>
      <protection hidden="1"/>
    </xf>
    <xf numFmtId="0" fontId="17" fillId="202" borderId="216" xfId="0" applyNumberFormat="1" applyFont="1" applyFill="1" applyBorder="1" applyAlignment="1" applyProtection="1">
      <alignment horizontal="left"/>
      <protection hidden="1"/>
    </xf>
    <xf numFmtId="0" fontId="17" fillId="203" borderId="217" xfId="0" applyNumberFormat="1" applyFont="1" applyFill="1" applyBorder="1" applyAlignment="1" applyProtection="1">
      <alignment horizontal="left"/>
      <protection hidden="1"/>
    </xf>
    <xf numFmtId="0" fontId="17" fillId="144" borderId="154" xfId="0" applyNumberFormat="1" applyFont="1" applyFill="1" applyBorder="1" applyAlignment="1" applyProtection="1">
      <alignment horizontal="left"/>
      <protection hidden="1"/>
    </xf>
    <xf numFmtId="0" fontId="17" fillId="204" borderId="218" xfId="0" applyNumberFormat="1" applyFont="1" applyFill="1" applyBorder="1" applyAlignment="1" applyProtection="1">
      <alignment horizontal="left"/>
      <protection hidden="1"/>
    </xf>
    <xf numFmtId="0" fontId="17" fillId="205" borderId="219" xfId="0" applyNumberFormat="1" applyFont="1" applyFill="1" applyBorder="1" applyAlignment="1" applyProtection="1">
      <alignment horizontal="left"/>
      <protection hidden="1"/>
    </xf>
    <xf numFmtId="0" fontId="17" fillId="84" borderId="91" xfId="0" applyNumberFormat="1" applyFont="1" applyFill="1" applyBorder="1" applyAlignment="1" applyProtection="1">
      <protection hidden="1"/>
    </xf>
    <xf numFmtId="0" fontId="17" fillId="67" borderId="74" xfId="0" applyNumberFormat="1" applyFont="1" applyFill="1" applyBorder="1" applyAlignment="1" applyProtection="1">
      <protection hidden="1"/>
    </xf>
    <xf numFmtId="0" fontId="17" fillId="56" borderId="60" xfId="26" applyNumberFormat="1" applyFont="1" applyFill="1" applyBorder="1" applyAlignment="1" applyProtection="1">
      <protection hidden="1"/>
    </xf>
    <xf numFmtId="0" fontId="25" fillId="36" borderId="35" xfId="30" applyNumberFormat="1" applyFont="1" applyFill="1" applyBorder="1" applyAlignment="1" applyProtection="1">
      <alignment horizontal="left"/>
      <protection hidden="1"/>
    </xf>
    <xf numFmtId="0" fontId="133" fillId="36" borderId="35" xfId="30" applyNumberFormat="1" applyFont="1" applyFill="1" applyBorder="1" applyAlignment="1" applyProtection="1">
      <alignment horizontal="left"/>
      <protection hidden="1"/>
    </xf>
    <xf numFmtId="0" fontId="17" fillId="49" borderId="52" xfId="0" applyNumberFormat="1" applyFont="1" applyFill="1" applyBorder="1" applyAlignment="1" applyProtection="1">
      <alignment horizontal="left"/>
      <protection hidden="1"/>
    </xf>
    <xf numFmtId="0" fontId="140" fillId="83" borderId="90" xfId="0" applyNumberFormat="1" applyFont="1" applyFill="1" applyBorder="1" applyAlignment="1" applyProtection="1">
      <alignment horizontal="right"/>
      <protection hidden="1"/>
    </xf>
    <xf numFmtId="0" fontId="17" fillId="0" borderId="46" xfId="26" applyNumberFormat="1" applyFont="1" applyFill="1" applyBorder="1" applyAlignment="1" applyProtection="1">
      <alignment horizontal="center"/>
      <protection hidden="1"/>
    </xf>
    <xf numFmtId="0" fontId="17" fillId="44" borderId="44" xfId="30" applyNumberFormat="1" applyFont="1" applyFill="1" applyBorder="1" applyAlignment="1" applyProtection="1">
      <alignment horizontal="center" wrapText="1"/>
      <protection hidden="1"/>
    </xf>
    <xf numFmtId="0" fontId="17" fillId="36" borderId="35" xfId="30" applyNumberFormat="1" applyFont="1" applyFill="1" applyBorder="1" applyAlignment="1" applyProtection="1">
      <alignment horizontal="center" wrapText="1"/>
      <protection hidden="1"/>
    </xf>
    <xf numFmtId="0" fontId="17" fillId="83" borderId="90" xfId="30" applyNumberFormat="1" applyFont="1" applyFill="1" applyBorder="1" applyAlignment="1" applyProtection="1">
      <alignment horizontal="center" wrapText="1"/>
      <protection hidden="1"/>
    </xf>
    <xf numFmtId="0" fontId="17" fillId="116" borderId="122" xfId="30" applyNumberFormat="1" applyFont="1" applyFill="1" applyBorder="1" applyAlignment="1" applyProtection="1">
      <alignment horizontal="left" vertical="center" wrapText="1"/>
      <protection hidden="1"/>
    </xf>
    <xf numFmtId="0" fontId="17" fillId="43" borderId="43" xfId="30" applyNumberFormat="1" applyFont="1" applyFill="1" applyBorder="1" applyAlignment="1" applyProtection="1">
      <alignment horizontal="left" vertical="center" wrapText="1"/>
      <protection hidden="1"/>
    </xf>
    <xf numFmtId="0" fontId="17" fillId="50" borderId="53" xfId="26" applyNumberFormat="1" applyFont="1" applyFill="1" applyBorder="1" applyAlignment="1" applyProtection="1">
      <protection hidden="1"/>
    </xf>
    <xf numFmtId="0" fontId="17" fillId="54" borderId="58" xfId="26" applyNumberFormat="1" applyFont="1" applyFill="1" applyBorder="1" applyAlignment="1" applyProtection="1">
      <protection hidden="1"/>
    </xf>
    <xf numFmtId="0" fontId="17" fillId="44" borderId="44" xfId="27" applyNumberFormat="1" applyFont="1" applyFill="1" applyBorder="1" applyAlignment="1" applyProtection="1">
      <protection hidden="1"/>
    </xf>
    <xf numFmtId="0" fontId="17" fillId="83" borderId="90" xfId="27" applyNumberFormat="1" applyFont="1" applyFill="1" applyBorder="1" applyAlignment="1" applyProtection="1">
      <protection hidden="1"/>
    </xf>
    <xf numFmtId="0" fontId="17" fillId="44" borderId="44" xfId="0" applyNumberFormat="1" applyFont="1" applyFill="1" applyBorder="1" applyAlignment="1" applyProtection="1">
      <protection hidden="1"/>
    </xf>
    <xf numFmtId="0" fontId="17" fillId="83" borderId="90" xfId="0" applyNumberFormat="1" applyFont="1" applyFill="1" applyBorder="1" applyAlignment="1" applyProtection="1">
      <protection hidden="1"/>
    </xf>
    <xf numFmtId="0" fontId="141" fillId="36" borderId="35" xfId="0" applyNumberFormat="1" applyFont="1" applyFill="1" applyBorder="1" applyAlignment="1" applyProtection="1">
      <protection hidden="1"/>
    </xf>
    <xf numFmtId="0" fontId="171" fillId="223" borderId="259" xfId="0" applyFont="1" applyFill="1" applyBorder="1" applyAlignment="1" applyProtection="1">
      <alignment horizontal="center"/>
      <protection hidden="1"/>
    </xf>
    <xf numFmtId="0" fontId="171" fillId="223" borderId="260" xfId="0" applyFont="1" applyFill="1" applyBorder="1" applyAlignment="1" applyProtection="1">
      <alignment horizontal="center"/>
      <protection hidden="1"/>
    </xf>
    <xf numFmtId="0" fontId="171" fillId="231" borderId="140" xfId="264" applyFill="1" applyBorder="1" applyAlignment="1" applyProtection="1">
      <alignment horizontal="left"/>
      <protection hidden="1"/>
    </xf>
    <xf numFmtId="0" fontId="171" fillId="231" borderId="221" xfId="264" applyFill="1" applyBorder="1" applyAlignment="1" applyProtection="1">
      <alignment horizontal="left"/>
      <protection hidden="1"/>
    </xf>
    <xf numFmtId="0" fontId="213" fillId="223" borderId="262" xfId="264" applyFont="1" applyFill="1" applyBorder="1" applyAlignment="1" applyProtection="1">
      <alignment horizontal="center"/>
      <protection hidden="1"/>
    </xf>
    <xf numFmtId="0" fontId="213" fillId="223" borderId="263" xfId="264" applyFont="1" applyFill="1" applyBorder="1" applyAlignment="1" applyProtection="1">
      <alignment horizontal="center"/>
      <protection hidden="1"/>
    </xf>
    <xf numFmtId="0" fontId="25" fillId="0" borderId="0" xfId="0" applyNumberFormat="1" applyFont="1" applyFill="1" applyBorder="1" applyAlignment="1" applyProtection="1">
      <protection hidden="1"/>
    </xf>
    <xf numFmtId="0" fontId="21" fillId="130" borderId="140" xfId="0" applyNumberFormat="1" applyFont="1" applyFill="1" applyBorder="1" applyAlignment="1" applyProtection="1">
      <alignment horizontal="center"/>
    </xf>
    <xf numFmtId="0" fontId="21" fillId="207" borderId="221" xfId="0" applyNumberFormat="1" applyFont="1" applyFill="1" applyBorder="1" applyAlignment="1" applyProtection="1">
      <alignment horizontal="center"/>
    </xf>
    <xf numFmtId="0" fontId="21" fillId="231" borderId="208" xfId="264" applyFont="1" applyFill="1" applyBorder="1" applyAlignment="1" applyProtection="1">
      <alignment horizontal="center" vertical="center" wrapText="1"/>
      <protection hidden="1"/>
    </xf>
    <xf numFmtId="0" fontId="21" fillId="231" borderId="152" xfId="264" applyFont="1" applyFill="1" applyBorder="1" applyAlignment="1" applyProtection="1">
      <alignment horizontal="center" vertical="center" wrapText="1"/>
      <protection hidden="1"/>
    </xf>
    <xf numFmtId="165" fontId="24" fillId="223" borderId="262" xfId="0" applyNumberFormat="1" applyFont="1" applyFill="1" applyBorder="1" applyAlignment="1" applyProtection="1">
      <alignment horizontal="center"/>
      <protection hidden="1"/>
    </xf>
    <xf numFmtId="165" fontId="24" fillId="223" borderId="263" xfId="0" applyNumberFormat="1" applyFont="1" applyFill="1" applyBorder="1" applyAlignment="1" applyProtection="1">
      <alignment horizontal="center"/>
      <protection hidden="1"/>
    </xf>
    <xf numFmtId="0" fontId="17" fillId="235" borderId="140" xfId="26" applyFont="1" applyFill="1" applyBorder="1" applyAlignment="1" applyProtection="1">
      <alignment horizontal="center"/>
      <protection hidden="1"/>
    </xf>
    <xf numFmtId="0" fontId="17" fillId="235" borderId="221" xfId="26" applyFont="1" applyFill="1" applyBorder="1" applyAlignment="1" applyProtection="1">
      <alignment horizontal="center"/>
      <protection hidden="1"/>
    </xf>
    <xf numFmtId="0" fontId="84" fillId="223" borderId="152" xfId="264" applyFont="1" applyFill="1" applyBorder="1" applyAlignment="1" applyProtection="1">
      <alignment horizontal="right"/>
      <protection hidden="1"/>
    </xf>
    <xf numFmtId="0" fontId="21" fillId="223" borderId="152" xfId="266" applyFont="1" applyFill="1" applyBorder="1" applyAlignment="1" applyProtection="1">
      <alignment horizontal="left" vertical="center" wrapText="1"/>
      <protection hidden="1"/>
    </xf>
    <xf numFmtId="0" fontId="17" fillId="223" borderId="253" xfId="27" applyFont="1" applyFill="1" applyBorder="1" applyAlignment="1" applyProtection="1">
      <alignment horizontal="center"/>
      <protection hidden="1"/>
    </xf>
    <xf numFmtId="0" fontId="17" fillId="223" borderId="254" xfId="27" applyFont="1" applyFill="1" applyBorder="1" applyAlignment="1" applyProtection="1">
      <alignment horizontal="center"/>
      <protection hidden="1"/>
    </xf>
    <xf numFmtId="0" fontId="171" fillId="231" borderId="213" xfId="264" applyFill="1" applyBorder="1" applyAlignment="1" applyProtection="1">
      <alignment horizontal="left"/>
      <protection hidden="1"/>
    </xf>
    <xf numFmtId="0" fontId="171" fillId="231" borderId="222" xfId="264" applyFill="1" applyBorder="1" applyAlignment="1" applyProtection="1">
      <alignment horizontal="left"/>
      <protection hidden="1"/>
    </xf>
    <xf numFmtId="0" fontId="171" fillId="223" borderId="256" xfId="0" applyFont="1" applyFill="1" applyBorder="1" applyAlignment="1" applyProtection="1">
      <alignment horizontal="center"/>
      <protection hidden="1"/>
    </xf>
    <xf numFmtId="0" fontId="171" fillId="223" borderId="257" xfId="0" applyFont="1" applyFill="1" applyBorder="1" applyAlignment="1" applyProtection="1">
      <alignment horizontal="center"/>
      <protection hidden="1"/>
    </xf>
    <xf numFmtId="0" fontId="171" fillId="231" borderId="237" xfId="264" applyFill="1" applyBorder="1" applyAlignment="1" applyProtection="1">
      <alignment horizontal="left"/>
      <protection hidden="1"/>
    </xf>
    <xf numFmtId="0" fontId="171" fillId="231" borderId="212" xfId="264" applyFill="1" applyBorder="1" applyAlignment="1" applyProtection="1">
      <alignment horizontal="left"/>
      <protection hidden="1"/>
    </xf>
    <xf numFmtId="0" fontId="211" fillId="231" borderId="238" xfId="264" applyFont="1" applyFill="1" applyBorder="1" applyAlignment="1" applyProtection="1">
      <alignment horizontal="left"/>
      <protection hidden="1"/>
    </xf>
    <xf numFmtId="165" fontId="24" fillId="223" borderId="140" xfId="0" applyNumberFormat="1" applyFont="1" applyFill="1" applyBorder="1" applyAlignment="1" applyProtection="1">
      <alignment horizontal="center"/>
      <protection hidden="1"/>
    </xf>
    <xf numFmtId="165" fontId="24" fillId="223" borderId="221" xfId="0" applyNumberFormat="1" applyFont="1" applyFill="1" applyBorder="1" applyAlignment="1" applyProtection="1">
      <alignment horizontal="center"/>
      <protection hidden="1"/>
    </xf>
    <xf numFmtId="0" fontId="21" fillId="223" borderId="202" xfId="264" applyFont="1" applyFill="1" applyBorder="1" applyAlignment="1" applyProtection="1">
      <alignment horizontal="left" vertical="top" wrapText="1"/>
      <protection hidden="1"/>
    </xf>
    <xf numFmtId="0" fontId="21" fillId="223" borderId="152" xfId="264" applyFont="1" applyFill="1" applyBorder="1" applyAlignment="1" applyProtection="1">
      <alignment horizontal="left" vertical="top" wrapText="1"/>
      <protection hidden="1"/>
    </xf>
    <xf numFmtId="0" fontId="55" fillId="36" borderId="35" xfId="25" applyNumberFormat="1" applyFont="1" applyFill="1" applyBorder="1" applyAlignment="1" applyProtection="1">
      <alignment horizontal="left"/>
      <protection hidden="1"/>
    </xf>
    <xf numFmtId="0" fontId="227" fillId="231" borderId="238" xfId="25" applyFont="1" applyFill="1" applyBorder="1" applyAlignment="1" applyProtection="1">
      <alignment horizontal="left"/>
      <protection hidden="1"/>
    </xf>
    <xf numFmtId="0" fontId="24" fillId="36" borderId="35" xfId="30" applyNumberFormat="1" applyFont="1" applyFill="1" applyBorder="1" applyAlignment="1" applyProtection="1">
      <alignment horizontal="right"/>
      <protection hidden="1"/>
    </xf>
    <xf numFmtId="0" fontId="24" fillId="83" borderId="90" xfId="30" applyNumberFormat="1" applyFont="1" applyFill="1" applyBorder="1" applyAlignment="1" applyProtection="1">
      <alignment horizontal="right"/>
      <protection hidden="1"/>
    </xf>
    <xf numFmtId="0" fontId="19" fillId="36" borderId="35" xfId="30" applyNumberFormat="1" applyFont="1" applyFill="1" applyBorder="1" applyAlignment="1" applyProtection="1">
      <alignment horizontal="right" wrapText="1"/>
      <protection hidden="1"/>
    </xf>
    <xf numFmtId="0" fontId="19" fillId="83" borderId="90" xfId="30" applyNumberFormat="1" applyFont="1" applyFill="1" applyBorder="1" applyAlignment="1" applyProtection="1">
      <alignment horizontal="right" wrapText="1"/>
      <protection hidden="1"/>
    </xf>
    <xf numFmtId="0" fontId="171" fillId="231" borderId="152" xfId="264" applyFont="1" applyFill="1" applyAlignment="1" applyProtection="1">
      <alignment horizontal="center"/>
      <protection hidden="1"/>
    </xf>
    <xf numFmtId="0" fontId="211" fillId="0" borderId="152" xfId="0" applyFont="1" applyBorder="1" applyAlignment="1" applyProtection="1">
      <alignment horizontal="left"/>
      <protection hidden="1"/>
    </xf>
    <xf numFmtId="0" fontId="17" fillId="97" borderId="101" xfId="0" applyNumberFormat="1" applyFont="1" applyFill="1" applyBorder="1" applyAlignment="1" applyProtection="1">
      <alignment horizontal="center" vertical="top"/>
      <protection hidden="1"/>
    </xf>
    <xf numFmtId="0" fontId="24" fillId="36" borderId="35" xfId="19" applyNumberFormat="1" applyFont="1" applyFill="1" applyBorder="1" applyAlignment="1" applyProtection="1">
      <alignment horizontal="right"/>
      <protection hidden="1"/>
    </xf>
    <xf numFmtId="0" fontId="17" fillId="37" borderId="36" xfId="16" applyNumberFormat="1" applyFont="1" applyFill="1" applyBorder="1" applyAlignment="1" applyProtection="1">
      <alignment horizontal="center" wrapText="1"/>
      <protection hidden="1"/>
    </xf>
    <xf numFmtId="0" fontId="17" fillId="37" borderId="36" xfId="30" applyNumberFormat="1" applyFont="1" applyFill="1" applyBorder="1" applyAlignment="1" applyProtection="1">
      <alignment horizontal="center" wrapText="1"/>
      <protection hidden="1"/>
    </xf>
    <xf numFmtId="0" fontId="17" fillId="44" borderId="44" xfId="30" applyNumberFormat="1" applyFont="1" applyFill="1" applyBorder="1" applyAlignment="1" applyProtection="1">
      <alignment horizontal="left" wrapText="1"/>
      <protection hidden="1"/>
    </xf>
    <xf numFmtId="0" fontId="8" fillId="36" borderId="35" xfId="0" applyNumberFormat="1" applyFont="1" applyFill="1" applyBorder="1" applyAlignment="1" applyProtection="1">
      <protection hidden="1"/>
    </xf>
    <xf numFmtId="0" fontId="166" fillId="225" borderId="152" xfId="30" applyFont="1" applyFill="1" applyBorder="1" applyAlignment="1" applyProtection="1">
      <alignment horizontal="center"/>
      <protection hidden="1"/>
    </xf>
    <xf numFmtId="0" fontId="11" fillId="36" borderId="35" xfId="0" applyNumberFormat="1" applyFont="1" applyFill="1" applyBorder="1" applyAlignment="1" applyProtection="1">
      <alignment horizontal="right"/>
      <protection hidden="1"/>
    </xf>
    <xf numFmtId="0" fontId="16" fillId="36" borderId="35" xfId="14" applyNumberFormat="1" applyFont="1" applyFill="1" applyBorder="1" applyAlignment="1" applyProtection="1">
      <alignment horizontal="right"/>
      <protection hidden="1"/>
    </xf>
    <xf numFmtId="0" fontId="25" fillId="36" borderId="35" xfId="0" applyNumberFormat="1" applyFont="1" applyFill="1" applyBorder="1" applyAlignment="1" applyProtection="1">
      <alignment horizontal="left"/>
      <protection hidden="1"/>
    </xf>
    <xf numFmtId="0" fontId="17" fillId="84" borderId="91" xfId="30" applyNumberFormat="1" applyFont="1" applyFill="1" applyBorder="1" applyAlignment="1" applyProtection="1">
      <alignment horizontal="center"/>
      <protection hidden="1"/>
    </xf>
    <xf numFmtId="0" fontId="3" fillId="0" borderId="187" xfId="0" applyNumberFormat="1" applyFont="1" applyFill="1" applyBorder="1" applyAlignment="1" applyProtection="1">
      <alignment horizontal="center"/>
      <protection hidden="1"/>
    </xf>
    <xf numFmtId="0" fontId="3" fillId="0" borderId="117" xfId="0" applyNumberFormat="1" applyFont="1" applyFill="1" applyBorder="1" applyAlignment="1" applyProtection="1">
      <alignment horizontal="center"/>
      <protection hidden="1"/>
    </xf>
    <xf numFmtId="0" fontId="17" fillId="44" borderId="44" xfId="30" applyNumberFormat="1" applyFont="1" applyFill="1" applyBorder="1" applyAlignment="1" applyProtection="1">
      <alignment horizontal="left" vertical="center" wrapText="1"/>
      <protection hidden="1"/>
    </xf>
    <xf numFmtId="0" fontId="3" fillId="0" borderId="0" xfId="0" applyNumberFormat="1" applyFont="1" applyFill="1" applyBorder="1" applyAlignment="1" applyProtection="1">
      <protection hidden="1"/>
    </xf>
    <xf numFmtId="0" fontId="3" fillId="0" borderId="102" xfId="0" applyNumberFormat="1" applyFont="1" applyFill="1" applyBorder="1" applyAlignment="1" applyProtection="1">
      <protection hidden="1"/>
    </xf>
    <xf numFmtId="0" fontId="17" fillId="57" borderId="61" xfId="30" applyNumberFormat="1" applyFont="1" applyFill="1" applyBorder="1" applyAlignment="1" applyProtection="1">
      <alignment horizontal="center"/>
      <protection locked="0"/>
    </xf>
    <xf numFmtId="0" fontId="17" fillId="118" borderId="124" xfId="30" applyNumberFormat="1" applyFont="1" applyFill="1" applyBorder="1" applyAlignment="1" applyProtection="1">
      <alignment horizontal="center"/>
      <protection locked="0"/>
    </xf>
    <xf numFmtId="0" fontId="17" fillId="206" borderId="220" xfId="30" applyNumberFormat="1" applyFont="1" applyFill="1" applyBorder="1" applyAlignment="1" applyProtection="1">
      <alignment horizontal="center"/>
      <protection locked="0"/>
    </xf>
    <xf numFmtId="172" fontId="17" fillId="56" borderId="60" xfId="30" applyNumberFormat="1" applyFont="1" applyFill="1" applyBorder="1" applyAlignment="1" applyProtection="1">
      <alignment horizontal="center"/>
      <protection hidden="1"/>
    </xf>
    <xf numFmtId="2" fontId="17" fillId="94" borderId="98" xfId="30" applyNumberFormat="1" applyFont="1" applyFill="1" applyBorder="1" applyAlignment="1" applyProtection="1">
      <alignment horizontal="center"/>
      <protection hidden="1"/>
    </xf>
    <xf numFmtId="2" fontId="17" fillId="119" borderId="125" xfId="30" applyNumberFormat="1" applyFont="1" applyFill="1" applyBorder="1" applyAlignment="1" applyProtection="1">
      <alignment horizontal="center"/>
      <protection hidden="1"/>
    </xf>
    <xf numFmtId="0" fontId="17" fillId="67" borderId="74" xfId="30" applyNumberFormat="1" applyFont="1" applyFill="1" applyBorder="1" applyAlignment="1" applyProtection="1">
      <alignment horizontal="center"/>
      <protection hidden="1"/>
    </xf>
    <xf numFmtId="0" fontId="99" fillId="43" borderId="43" xfId="0" applyNumberFormat="1" applyFont="1" applyFill="1" applyBorder="1" applyAlignment="1" applyProtection="1">
      <alignment horizontal="left" vertical="center"/>
      <protection hidden="1"/>
    </xf>
    <xf numFmtId="0" fontId="21" fillId="36" borderId="35" xfId="0" applyNumberFormat="1" applyFont="1" applyFill="1" applyBorder="1" applyAlignment="1" applyProtection="1">
      <alignment horizontal="center" vertical="top"/>
      <protection hidden="1"/>
    </xf>
    <xf numFmtId="0" fontId="17" fillId="56" borderId="60" xfId="30" applyNumberFormat="1" applyFont="1" applyFill="1" applyBorder="1" applyAlignment="1" applyProtection="1">
      <alignment horizontal="center"/>
      <protection hidden="1"/>
    </xf>
    <xf numFmtId="0" fontId="21" fillId="105" borderId="110" xfId="30" applyNumberFormat="1" applyFont="1" applyFill="1" applyBorder="1" applyAlignment="1" applyProtection="1">
      <alignment horizontal="center" vertical="top" wrapText="1"/>
      <protection hidden="1"/>
    </xf>
    <xf numFmtId="0" fontId="21" fillId="212" borderId="226" xfId="30" applyNumberFormat="1" applyFont="1" applyFill="1" applyBorder="1" applyAlignment="1" applyProtection="1">
      <alignment horizontal="center" vertical="top" wrapText="1"/>
      <protection hidden="1"/>
    </xf>
    <xf numFmtId="0" fontId="21" fillId="108" borderId="113" xfId="30" applyNumberFormat="1" applyFont="1" applyFill="1" applyBorder="1" applyAlignment="1" applyProtection="1">
      <alignment horizontal="center" vertical="top" wrapText="1"/>
      <protection hidden="1"/>
    </xf>
    <xf numFmtId="0" fontId="17" fillId="99" borderId="104" xfId="30" applyNumberFormat="1" applyFont="1" applyFill="1" applyBorder="1" applyAlignment="1" applyProtection="1">
      <protection locked="0"/>
    </xf>
    <xf numFmtId="0" fontId="17" fillId="73" borderId="80" xfId="30" applyNumberFormat="1" applyFont="1" applyFill="1" applyBorder="1" applyAlignment="1" applyProtection="1">
      <protection locked="0"/>
    </xf>
    <xf numFmtId="0" fontId="60" fillId="0" borderId="0" xfId="30" applyNumberFormat="1" applyFont="1" applyFill="1" applyBorder="1" applyAlignment="1" applyProtection="1">
      <alignment horizontal="left"/>
    </xf>
    <xf numFmtId="0" fontId="17" fillId="36" borderId="152" xfId="30" applyNumberFormat="1" applyFont="1" applyFill="1" applyBorder="1" applyAlignment="1" applyProtection="1">
      <alignment horizontal="left" vertical="top" wrapText="1"/>
      <protection hidden="1"/>
    </xf>
    <xf numFmtId="0" fontId="28" fillId="36" borderId="35" xfId="30" applyNumberFormat="1" applyFont="1" applyFill="1" applyBorder="1" applyAlignment="1" applyProtection="1">
      <alignment horizontal="left"/>
      <protection hidden="1"/>
    </xf>
    <xf numFmtId="0" fontId="11" fillId="36" borderId="35" xfId="0" applyNumberFormat="1" applyFont="1" applyFill="1" applyBorder="1" applyAlignment="1" applyProtection="1">
      <protection hidden="1"/>
    </xf>
    <xf numFmtId="0" fontId="126" fillId="0" borderId="208" xfId="14" applyNumberFormat="1" applyFont="1" applyFill="1" applyBorder="1" applyAlignment="1" applyProtection="1">
      <alignment horizontal="center" vertical="top" wrapText="1"/>
      <protection hidden="1"/>
    </xf>
    <xf numFmtId="0" fontId="126" fillId="0" borderId="152" xfId="14" applyNumberFormat="1" applyFont="1" applyFill="1" applyBorder="1" applyAlignment="1" applyProtection="1">
      <alignment horizontal="center" vertical="top" wrapText="1"/>
      <protection hidden="1"/>
    </xf>
    <xf numFmtId="0" fontId="60" fillId="0" borderId="0" xfId="30" applyNumberFormat="1" applyFont="1" applyFill="1" applyBorder="1" applyAlignment="1" applyProtection="1">
      <alignment horizontal="left"/>
      <protection hidden="1"/>
    </xf>
    <xf numFmtId="0" fontId="17" fillId="44" borderId="44" xfId="30" applyNumberFormat="1" applyFont="1" applyFill="1" applyBorder="1" applyAlignment="1" applyProtection="1">
      <protection hidden="1"/>
    </xf>
    <xf numFmtId="0" fontId="17" fillId="83" borderId="90" xfId="30" applyNumberFormat="1" applyFont="1" applyFill="1" applyBorder="1" applyAlignment="1" applyProtection="1">
      <protection hidden="1"/>
    </xf>
    <xf numFmtId="0" fontId="17" fillId="105" borderId="110" xfId="30" applyNumberFormat="1" applyFont="1" applyFill="1" applyBorder="1" applyAlignment="1" applyProtection="1">
      <alignment horizontal="center"/>
      <protection hidden="1"/>
    </xf>
    <xf numFmtId="0" fontId="17" fillId="212" borderId="226" xfId="30" applyNumberFormat="1" applyFont="1" applyFill="1" applyBorder="1" applyAlignment="1" applyProtection="1">
      <alignment horizontal="center"/>
      <protection hidden="1"/>
    </xf>
    <xf numFmtId="0" fontId="17" fillId="108" borderId="113" xfId="30" applyNumberFormat="1" applyFont="1" applyFill="1" applyBorder="1" applyAlignment="1" applyProtection="1">
      <alignment horizontal="center"/>
      <protection hidden="1"/>
    </xf>
    <xf numFmtId="2" fontId="70" fillId="44" borderId="202" xfId="30" applyNumberFormat="1" applyFont="1" applyFill="1" applyBorder="1" applyAlignment="1" applyProtection="1">
      <alignment horizontal="left" vertical="center" textRotation="90" wrapText="1"/>
      <protection hidden="1"/>
    </xf>
    <xf numFmtId="0" fontId="71" fillId="36" borderId="152" xfId="30" applyNumberFormat="1" applyFont="1" applyFill="1" applyBorder="1" applyAlignment="1" applyProtection="1">
      <alignment horizontal="left" vertical="center" textRotation="90" wrapText="1"/>
      <protection hidden="1"/>
    </xf>
    <xf numFmtId="0" fontId="17" fillId="38" borderId="37" xfId="30" applyNumberFormat="1" applyFont="1" applyFill="1" applyBorder="1" applyAlignment="1" applyProtection="1">
      <protection hidden="1"/>
    </xf>
    <xf numFmtId="0" fontId="17" fillId="55" borderId="59" xfId="30" applyNumberFormat="1" applyFont="1" applyFill="1" applyBorder="1" applyAlignment="1" applyProtection="1">
      <protection hidden="1"/>
    </xf>
    <xf numFmtId="0" fontId="17" fillId="84" borderId="91" xfId="30" applyNumberFormat="1" applyFont="1" applyFill="1" applyBorder="1" applyAlignment="1" applyProtection="1">
      <protection locked="0"/>
    </xf>
    <xf numFmtId="0" fontId="17" fillId="67" borderId="74" xfId="30" applyNumberFormat="1" applyFont="1" applyFill="1" applyBorder="1" applyAlignment="1" applyProtection="1">
      <protection locked="0"/>
    </xf>
    <xf numFmtId="0" fontId="17" fillId="84" borderId="91" xfId="30" applyNumberFormat="1" applyFont="1" applyFill="1" applyBorder="1" applyAlignment="1" applyProtection="1">
      <protection hidden="1"/>
    </xf>
    <xf numFmtId="0" fontId="17" fillId="67" borderId="74" xfId="30" applyNumberFormat="1" applyFont="1" applyFill="1" applyBorder="1" applyAlignment="1" applyProtection="1">
      <protection hidden="1"/>
    </xf>
    <xf numFmtId="0" fontId="115" fillId="67" borderId="74" xfId="30" applyNumberFormat="1" applyFont="1" applyFill="1" applyBorder="1" applyAlignment="1" applyProtection="1">
      <protection hidden="1"/>
    </xf>
    <xf numFmtId="1" fontId="17" fillId="84" borderId="91" xfId="30" applyNumberFormat="1" applyFont="1" applyFill="1" applyBorder="1" applyAlignment="1" applyProtection="1">
      <protection hidden="1"/>
    </xf>
    <xf numFmtId="1" fontId="17" fillId="67" borderId="74" xfId="30" applyNumberFormat="1" applyFont="1" applyFill="1" applyBorder="1" applyAlignment="1" applyProtection="1">
      <protection hidden="1"/>
    </xf>
    <xf numFmtId="0" fontId="17" fillId="50" borderId="53" xfId="30" applyNumberFormat="1" applyFont="1" applyFill="1" applyBorder="1" applyAlignment="1" applyProtection="1">
      <protection hidden="1"/>
    </xf>
    <xf numFmtId="0" fontId="17" fillId="54" borderId="58" xfId="30" applyNumberFormat="1" applyFont="1" applyFill="1" applyBorder="1" applyAlignment="1" applyProtection="1">
      <protection hidden="1"/>
    </xf>
    <xf numFmtId="0" fontId="17" fillId="0" borderId="102" xfId="0" applyNumberFormat="1" applyFont="1" applyFill="1" applyBorder="1" applyAlignment="1" applyProtection="1">
      <alignment horizontal="left" vertical="top" wrapText="1"/>
      <protection hidden="1"/>
    </xf>
    <xf numFmtId="0" fontId="17" fillId="0" borderId="0" xfId="0" applyNumberFormat="1" applyFont="1" applyFill="1" applyBorder="1" applyAlignment="1" applyProtection="1">
      <alignment horizontal="left" vertical="top" wrapText="1"/>
      <protection hidden="1"/>
    </xf>
    <xf numFmtId="0" fontId="28" fillId="49" borderId="52" xfId="22" applyNumberFormat="1" applyFont="1" applyFill="1" applyBorder="1" applyAlignment="1" applyProtection="1">
      <alignment horizontal="left"/>
      <protection hidden="1"/>
    </xf>
    <xf numFmtId="0" fontId="17" fillId="109" borderId="114" xfId="30" applyNumberFormat="1" applyFont="1" applyFill="1" applyBorder="1" applyAlignment="1" applyProtection="1">
      <alignment vertical="top" wrapText="1"/>
      <protection locked="0"/>
    </xf>
    <xf numFmtId="0" fontId="17" fillId="208" borderId="222" xfId="30" applyNumberFormat="1" applyFont="1" applyFill="1" applyBorder="1" applyAlignment="1" applyProtection="1">
      <alignment vertical="top" wrapText="1"/>
      <protection locked="0"/>
    </xf>
    <xf numFmtId="0" fontId="17" fillId="99" borderId="104" xfId="30" applyNumberFormat="1" applyFont="1" applyFill="1" applyBorder="1" applyAlignment="1" applyProtection="1">
      <alignment vertical="top" wrapText="1"/>
      <protection locked="0"/>
    </xf>
    <xf numFmtId="0" fontId="17" fillId="73" borderId="80" xfId="30" applyNumberFormat="1" applyFont="1" applyFill="1" applyBorder="1" applyAlignment="1" applyProtection="1">
      <alignment vertical="top" wrapText="1"/>
      <protection locked="0"/>
    </xf>
    <xf numFmtId="0" fontId="17" fillId="75" borderId="82" xfId="30" applyNumberFormat="1" applyFont="1" applyFill="1" applyBorder="1" applyAlignment="1" applyProtection="1">
      <alignment vertical="top" wrapText="1"/>
      <protection locked="0"/>
    </xf>
    <xf numFmtId="0" fontId="17" fillId="100" borderId="105" xfId="30" applyNumberFormat="1" applyFont="1" applyFill="1" applyBorder="1" applyAlignment="1" applyProtection="1">
      <alignment vertical="top" wrapText="1"/>
      <protection locked="0"/>
    </xf>
    <xf numFmtId="0" fontId="21" fillId="36" borderId="35" xfId="30" applyNumberFormat="1" applyFont="1" applyFill="1" applyBorder="1" applyAlignment="1" applyProtection="1">
      <alignment horizontal="left"/>
      <protection hidden="1"/>
    </xf>
    <xf numFmtId="0" fontId="109" fillId="36" borderId="35" xfId="30" applyNumberFormat="1" applyFont="1" applyFill="1" applyBorder="1" applyAlignment="1" applyProtection="1">
      <alignment horizontal="right"/>
      <protection hidden="1"/>
    </xf>
    <xf numFmtId="0" fontId="23" fillId="50" borderId="213" xfId="30" applyNumberFormat="1" applyFont="1" applyFill="1" applyBorder="1" applyAlignment="1" applyProtection="1">
      <alignment horizontal="left"/>
      <protection hidden="1"/>
    </xf>
    <xf numFmtId="0" fontId="23" fillId="50" borderId="208" xfId="30" applyNumberFormat="1" applyFont="1" applyFill="1" applyBorder="1" applyAlignment="1" applyProtection="1">
      <alignment horizontal="left"/>
      <protection hidden="1"/>
    </xf>
    <xf numFmtId="0" fontId="23" fillId="50" borderId="222" xfId="30" applyNumberFormat="1" applyFont="1" applyFill="1" applyBorder="1" applyAlignment="1" applyProtection="1">
      <alignment horizontal="left"/>
      <protection hidden="1"/>
    </xf>
    <xf numFmtId="0" fontId="17" fillId="75" borderId="82" xfId="30" applyNumberFormat="1" applyFont="1" applyFill="1" applyBorder="1" applyAlignment="1" applyProtection="1">
      <protection locked="0"/>
    </xf>
    <xf numFmtId="0" fontId="17" fillId="100" borderId="105" xfId="30" applyNumberFormat="1" applyFont="1" applyFill="1" applyBorder="1" applyAlignment="1" applyProtection="1">
      <protection locked="0"/>
    </xf>
    <xf numFmtId="0" fontId="17" fillId="99" borderId="104" xfId="30" applyNumberFormat="1" applyFont="1" applyFill="1" applyBorder="1" applyAlignment="1" applyProtection="1">
      <alignment horizontal="left"/>
      <protection locked="0"/>
    </xf>
    <xf numFmtId="0" fontId="17" fillId="73" borderId="80" xfId="30" applyNumberFormat="1" applyFont="1" applyFill="1" applyBorder="1" applyAlignment="1" applyProtection="1">
      <alignment horizontal="left"/>
      <protection locked="0"/>
    </xf>
    <xf numFmtId="0" fontId="17" fillId="44" borderId="44" xfId="30" applyNumberFormat="1" applyFont="1" applyFill="1" applyBorder="1" applyAlignment="1" applyProtection="1">
      <alignment horizontal="left"/>
      <protection hidden="1"/>
    </xf>
    <xf numFmtId="0" fontId="17" fillId="83" borderId="90" xfId="30" applyNumberFormat="1" applyFont="1" applyFill="1" applyBorder="1" applyAlignment="1" applyProtection="1">
      <alignment horizontal="left"/>
      <protection hidden="1"/>
    </xf>
    <xf numFmtId="1" fontId="21" fillId="0" borderId="140" xfId="0" applyNumberFormat="1" applyFont="1" applyFill="1" applyBorder="1" applyAlignment="1" applyProtection="1">
      <alignment horizontal="right"/>
      <protection hidden="1"/>
    </xf>
    <xf numFmtId="0" fontId="3" fillId="0" borderId="236" xfId="0" applyNumberFormat="1" applyFont="1" applyFill="1" applyBorder="1" applyAlignment="1" applyProtection="1">
      <alignment horizontal="right"/>
      <protection hidden="1"/>
    </xf>
    <xf numFmtId="0" fontId="3" fillId="0" borderId="221" xfId="0" applyNumberFormat="1" applyFont="1" applyFill="1" applyBorder="1" applyAlignment="1" applyProtection="1">
      <alignment horizontal="right"/>
      <protection hidden="1"/>
    </xf>
    <xf numFmtId="0" fontId="17" fillId="75" borderId="82" xfId="30" applyNumberFormat="1" applyFont="1" applyFill="1" applyBorder="1" applyAlignment="1" applyProtection="1">
      <alignment horizontal="left"/>
      <protection locked="0"/>
    </xf>
    <xf numFmtId="0" fontId="17" fillId="100" borderId="105" xfId="30" applyNumberFormat="1" applyFont="1" applyFill="1" applyBorder="1" applyAlignment="1" applyProtection="1">
      <alignment horizontal="left"/>
      <protection locked="0"/>
    </xf>
    <xf numFmtId="1" fontId="93" fillId="84" borderId="140" xfId="30" applyNumberFormat="1" applyFont="1" applyFill="1" applyBorder="1" applyAlignment="1" applyProtection="1">
      <alignment horizontal="right"/>
      <protection hidden="1"/>
    </xf>
    <xf numFmtId="1" fontId="93" fillId="58" borderId="236" xfId="30" applyNumberFormat="1" applyFont="1" applyFill="1" applyBorder="1" applyAlignment="1" applyProtection="1">
      <alignment horizontal="right"/>
      <protection hidden="1"/>
    </xf>
    <xf numFmtId="1" fontId="93" fillId="67" borderId="221" xfId="30" applyNumberFormat="1" applyFont="1" applyFill="1" applyBorder="1" applyAlignment="1" applyProtection="1">
      <alignment horizontal="right"/>
      <protection hidden="1"/>
    </xf>
    <xf numFmtId="0" fontId="61" fillId="36" borderId="35" xfId="0" applyNumberFormat="1" applyFont="1" applyFill="1" applyBorder="1" applyAlignment="1" applyProtection="1">
      <alignment horizontal="right" vertical="top" textRotation="90" wrapText="1"/>
      <protection hidden="1"/>
    </xf>
    <xf numFmtId="0" fontId="21" fillId="50" borderId="53" xfId="0" applyNumberFormat="1" applyFont="1" applyFill="1" applyBorder="1" applyAlignment="1" applyProtection="1">
      <alignment horizontal="center" vertical="top" wrapText="1"/>
      <protection hidden="1"/>
    </xf>
    <xf numFmtId="0" fontId="21" fillId="54" borderId="58" xfId="0" applyNumberFormat="1" applyFont="1" applyFill="1" applyBorder="1" applyAlignment="1" applyProtection="1">
      <alignment horizontal="center" vertical="top" wrapText="1"/>
      <protection hidden="1"/>
    </xf>
    <xf numFmtId="0" fontId="17" fillId="0" borderId="48" xfId="0" applyNumberFormat="1" applyFont="1" applyFill="1" applyBorder="1" applyAlignment="1" applyProtection="1">
      <alignment horizontal="center" vertical="center"/>
      <protection hidden="1"/>
    </xf>
    <xf numFmtId="0" fontId="17" fillId="0" borderId="49" xfId="0" applyNumberFormat="1" applyFont="1" applyFill="1" applyBorder="1" applyAlignment="1" applyProtection="1">
      <alignment horizontal="center" vertical="center"/>
      <protection hidden="1"/>
    </xf>
    <xf numFmtId="0" fontId="21" fillId="36" borderId="35" xfId="30" applyNumberFormat="1" applyFont="1" applyFill="1" applyBorder="1" applyAlignment="1" applyProtection="1">
      <alignment horizontal="left" vertical="center" wrapText="1"/>
      <protection hidden="1"/>
    </xf>
    <xf numFmtId="0" fontId="21" fillId="36" borderId="35" xfId="30" applyNumberFormat="1" applyFont="1" applyFill="1" applyBorder="1" applyAlignment="1" applyProtection="1">
      <alignment horizontal="left" vertical="top" wrapText="1"/>
      <protection hidden="1"/>
    </xf>
    <xf numFmtId="0" fontId="110" fillId="36" borderId="35" xfId="16" applyNumberFormat="1" applyFont="1" applyFill="1" applyBorder="1" applyAlignment="1" applyProtection="1">
      <alignment horizontal="left" vertical="top" textRotation="90" wrapText="1"/>
      <protection hidden="1"/>
    </xf>
    <xf numFmtId="0" fontId="49" fillId="36" borderId="35" xfId="16" applyNumberFormat="1" applyFont="1" applyFill="1" applyBorder="1" applyAlignment="1" applyProtection="1">
      <alignment horizontal="left" vertical="top" textRotation="90" wrapText="1"/>
      <protection hidden="1"/>
    </xf>
    <xf numFmtId="0" fontId="117" fillId="36" borderId="35" xfId="30" applyNumberFormat="1" applyFont="1" applyFill="1" applyBorder="1" applyAlignment="1" applyProtection="1">
      <alignment horizontal="right"/>
      <protection hidden="1"/>
    </xf>
    <xf numFmtId="0" fontId="28" fillId="36" borderId="35" xfId="0" applyNumberFormat="1" applyFont="1" applyFill="1" applyBorder="1" applyAlignment="1" applyProtection="1">
      <alignment horizontal="left" wrapText="1"/>
      <protection hidden="1"/>
    </xf>
    <xf numFmtId="0" fontId="28" fillId="49" borderId="52" xfId="0" applyNumberFormat="1" applyFont="1" applyFill="1" applyBorder="1" applyAlignment="1" applyProtection="1">
      <alignment horizontal="left"/>
      <protection hidden="1"/>
    </xf>
    <xf numFmtId="0" fontId="17" fillId="84" borderId="91" xfId="0" applyNumberFormat="1" applyFont="1" applyFill="1" applyBorder="1" applyAlignment="1" applyProtection="1">
      <alignment horizontal="center"/>
      <protection hidden="1"/>
    </xf>
    <xf numFmtId="0" fontId="17" fillId="67" borderId="74" xfId="0" applyNumberFormat="1" applyFont="1" applyFill="1" applyBorder="1" applyAlignment="1" applyProtection="1">
      <alignment horizontal="center"/>
      <protection hidden="1"/>
    </xf>
    <xf numFmtId="0" fontId="17" fillId="109" borderId="114" xfId="0" applyNumberFormat="1" applyFont="1" applyFill="1" applyBorder="1" applyAlignment="1" applyProtection="1">
      <alignment horizontal="center"/>
      <protection locked="0"/>
    </xf>
    <xf numFmtId="0" fontId="17" fillId="208" borderId="222" xfId="0" applyNumberFormat="1" applyFont="1" applyFill="1" applyBorder="1" applyAlignment="1" applyProtection="1">
      <alignment horizontal="center"/>
      <protection locked="0"/>
    </xf>
    <xf numFmtId="165" fontId="17" fillId="84" borderId="91" xfId="30" applyNumberFormat="1" applyFont="1" applyFill="1" applyBorder="1" applyAlignment="1" applyProtection="1">
      <alignment horizontal="center"/>
      <protection hidden="1"/>
    </xf>
    <xf numFmtId="165" fontId="17" fillId="67" borderId="74" xfId="30" applyNumberFormat="1" applyFont="1" applyFill="1" applyBorder="1" applyAlignment="1" applyProtection="1">
      <alignment horizontal="center"/>
      <protection hidden="1"/>
    </xf>
    <xf numFmtId="0" fontId="28" fillId="36" borderId="35" xfId="0" applyNumberFormat="1" applyFont="1" applyFill="1" applyBorder="1" applyAlignment="1" applyProtection="1">
      <alignment horizontal="left"/>
      <protection hidden="1"/>
    </xf>
    <xf numFmtId="0" fontId="17" fillId="36" borderId="35" xfId="0" applyNumberFormat="1" applyFont="1" applyFill="1" applyBorder="1" applyAlignment="1" applyProtection="1">
      <alignment horizontal="left" wrapText="1"/>
      <protection hidden="1"/>
    </xf>
    <xf numFmtId="0" fontId="17" fillId="36" borderId="35" xfId="30" applyNumberFormat="1" applyFont="1" applyFill="1" applyBorder="1" applyAlignment="1" applyProtection="1">
      <alignment horizontal="right"/>
      <protection hidden="1"/>
    </xf>
    <xf numFmtId="0" fontId="17" fillId="36" borderId="35" xfId="0" applyNumberFormat="1" applyFont="1" applyFill="1" applyBorder="1" applyAlignment="1" applyProtection="1">
      <alignment horizontal="left"/>
      <protection hidden="1"/>
    </xf>
    <xf numFmtId="0" fontId="131" fillId="0" borderId="48" xfId="14" applyNumberFormat="1" applyFont="1" applyFill="1" applyBorder="1" applyAlignment="1" applyProtection="1">
      <alignment horizontal="center" wrapText="1"/>
      <protection hidden="1"/>
    </xf>
    <xf numFmtId="0" fontId="131" fillId="0" borderId="49" xfId="14" applyNumberFormat="1" applyFont="1" applyFill="1" applyBorder="1" applyAlignment="1" applyProtection="1">
      <alignment horizontal="center" wrapText="1"/>
      <protection hidden="1"/>
    </xf>
    <xf numFmtId="0" fontId="17" fillId="41" borderId="41" xfId="0" applyNumberFormat="1" applyFont="1" applyFill="1" applyBorder="1" applyAlignment="1" applyProtection="1">
      <alignment horizontal="left" vertical="top"/>
      <protection hidden="1"/>
    </xf>
    <xf numFmtId="0" fontId="17" fillId="42" borderId="42" xfId="0" applyNumberFormat="1" applyFont="1" applyFill="1" applyBorder="1" applyAlignment="1" applyProtection="1">
      <alignment horizontal="left" vertical="top"/>
      <protection hidden="1"/>
    </xf>
    <xf numFmtId="0" fontId="17" fillId="41" borderId="41" xfId="0" applyNumberFormat="1" applyFont="1" applyFill="1" applyBorder="1" applyAlignment="1" applyProtection="1">
      <alignment horizontal="center" vertical="top"/>
      <protection hidden="1"/>
    </xf>
    <xf numFmtId="0" fontId="17" fillId="42" borderId="42" xfId="0" applyNumberFormat="1" applyFont="1" applyFill="1" applyBorder="1" applyAlignment="1" applyProtection="1">
      <alignment horizontal="center" vertical="top"/>
      <protection hidden="1"/>
    </xf>
    <xf numFmtId="171" fontId="17" fillId="54" borderId="58" xfId="0" applyNumberFormat="1" applyFont="1" applyFill="1" applyBorder="1" applyAlignment="1" applyProtection="1">
      <alignment horizontal="center" vertical="top" wrapText="1"/>
      <protection hidden="1"/>
    </xf>
    <xf numFmtId="171" fontId="17" fillId="55" borderId="59" xfId="0" applyNumberFormat="1" applyFont="1" applyFill="1" applyBorder="1" applyAlignment="1" applyProtection="1">
      <alignment horizontal="center" vertical="top" wrapText="1"/>
      <protection hidden="1"/>
    </xf>
    <xf numFmtId="0" fontId="119" fillId="0" borderId="65" xfId="14" applyNumberFormat="1" applyFont="1" applyFill="1" applyBorder="1" applyAlignment="1" applyProtection="1">
      <protection hidden="1"/>
    </xf>
    <xf numFmtId="0" fontId="119" fillId="0" borderId="137" xfId="14" applyNumberFormat="1" applyFont="1" applyFill="1" applyBorder="1" applyAlignment="1" applyProtection="1">
      <protection hidden="1"/>
    </xf>
    <xf numFmtId="0" fontId="235" fillId="105" borderId="110" xfId="0" applyNumberFormat="1" applyFont="1" applyFill="1" applyBorder="1" applyAlignment="1" applyProtection="1">
      <alignment horizontal="center" wrapText="1"/>
    </xf>
    <xf numFmtId="0" fontId="235" fillId="212" borderId="226" xfId="0" applyNumberFormat="1" applyFont="1" applyFill="1" applyBorder="1" applyAlignment="1" applyProtection="1">
      <alignment horizontal="center" wrapText="1"/>
    </xf>
    <xf numFmtId="0" fontId="19" fillId="0" borderId="48" xfId="0" applyNumberFormat="1" applyFont="1" applyFill="1" applyBorder="1" applyAlignment="1" applyProtection="1">
      <alignment horizontal="center" wrapText="1"/>
      <protection hidden="1"/>
    </xf>
    <xf numFmtId="0" fontId="19" fillId="0" borderId="49" xfId="0" applyNumberFormat="1" applyFont="1" applyFill="1" applyBorder="1" applyAlignment="1" applyProtection="1">
      <alignment horizontal="center" wrapText="1"/>
      <protection hidden="1"/>
    </xf>
    <xf numFmtId="0" fontId="21" fillId="38" borderId="37" xfId="0" applyNumberFormat="1" applyFont="1" applyFill="1" applyBorder="1" applyAlignment="1" applyProtection="1">
      <protection hidden="1"/>
    </xf>
    <xf numFmtId="0" fontId="21" fillId="55" borderId="59" xfId="0" applyNumberFormat="1" applyFont="1" applyFill="1" applyBorder="1" applyAlignment="1" applyProtection="1">
      <protection hidden="1"/>
    </xf>
    <xf numFmtId="0" fontId="14" fillId="38" borderId="37" xfId="30" applyNumberFormat="1" applyFont="1" applyFill="1" applyBorder="1" applyAlignment="1" applyProtection="1">
      <alignment horizontal="left"/>
      <protection hidden="1"/>
    </xf>
    <xf numFmtId="0" fontId="14" fillId="55" borderId="59" xfId="30" applyNumberFormat="1" applyFont="1" applyFill="1" applyBorder="1" applyAlignment="1" applyProtection="1">
      <alignment horizontal="left"/>
      <protection hidden="1"/>
    </xf>
    <xf numFmtId="0" fontId="17" fillId="109" borderId="114" xfId="30" applyNumberFormat="1" applyFont="1" applyFill="1" applyBorder="1" applyAlignment="1" applyProtection="1">
      <protection locked="0"/>
    </xf>
    <xf numFmtId="0" fontId="17" fillId="208" borderId="222" xfId="30" applyNumberFormat="1" applyFont="1" applyFill="1" applyBorder="1" applyAlignment="1" applyProtection="1">
      <protection locked="0"/>
    </xf>
    <xf numFmtId="0" fontId="17" fillId="50" borderId="213" xfId="30" applyNumberFormat="1" applyFont="1" applyFill="1" applyBorder="1" applyAlignment="1" applyProtection="1">
      <alignment horizontal="left" vertical="top"/>
      <protection hidden="1"/>
    </xf>
    <xf numFmtId="0" fontId="17" fillId="50" borderId="222" xfId="30" applyNumberFormat="1" applyFont="1" applyFill="1" applyBorder="1" applyAlignment="1" applyProtection="1">
      <alignment horizontal="left" vertical="top"/>
      <protection hidden="1"/>
    </xf>
    <xf numFmtId="0" fontId="17" fillId="50" borderId="237" xfId="30" applyNumberFormat="1" applyFont="1" applyFill="1" applyBorder="1" applyAlignment="1" applyProtection="1">
      <alignment horizontal="left" vertical="top"/>
      <protection hidden="1"/>
    </xf>
    <xf numFmtId="0" fontId="17" fillId="50" borderId="212" xfId="30" applyNumberFormat="1" applyFont="1" applyFill="1" applyBorder="1" applyAlignment="1" applyProtection="1">
      <alignment horizontal="left" vertical="top"/>
      <protection hidden="1"/>
    </xf>
    <xf numFmtId="0" fontId="23" fillId="50" borderId="213" xfId="30" applyNumberFormat="1" applyFont="1" applyFill="1" applyBorder="1" applyAlignment="1" applyProtection="1">
      <alignment horizontal="center"/>
      <protection hidden="1"/>
    </xf>
    <xf numFmtId="0" fontId="23" fillId="50" borderId="208" xfId="30" applyNumberFormat="1" applyFont="1" applyFill="1" applyBorder="1" applyAlignment="1" applyProtection="1">
      <alignment horizontal="center"/>
      <protection hidden="1"/>
    </xf>
    <xf numFmtId="0" fontId="23" fillId="50" borderId="222" xfId="30" applyNumberFormat="1" applyFont="1" applyFill="1" applyBorder="1" applyAlignment="1" applyProtection="1">
      <alignment horizontal="center"/>
      <protection hidden="1"/>
    </xf>
    <xf numFmtId="2" fontId="198" fillId="232" borderId="140" xfId="30" applyNumberFormat="1" applyFont="1" applyFill="1" applyBorder="1" applyAlignment="1" applyProtection="1">
      <alignment horizontal="center" vertical="center" wrapText="1"/>
      <protection hidden="1"/>
    </xf>
    <xf numFmtId="2" fontId="198" fillId="232" borderId="236" xfId="30" applyNumberFormat="1" applyFont="1" applyFill="1" applyBorder="1" applyAlignment="1" applyProtection="1">
      <alignment horizontal="center" vertical="center" wrapText="1"/>
      <protection hidden="1"/>
    </xf>
    <xf numFmtId="0" fontId="131" fillId="214" borderId="140" xfId="14" applyFont="1" applyFill="1" applyBorder="1" applyAlignment="1" applyProtection="1">
      <alignment horizontal="left"/>
      <protection hidden="1"/>
    </xf>
    <xf numFmtId="0" fontId="131" fillId="214" borderId="236" xfId="14" applyFont="1" applyFill="1" applyBorder="1" applyAlignment="1" applyProtection="1">
      <alignment horizontal="left"/>
      <protection hidden="1"/>
    </xf>
    <xf numFmtId="0" fontId="131" fillId="214" borderId="221" xfId="14" applyFont="1" applyFill="1" applyBorder="1" applyAlignment="1" applyProtection="1">
      <alignment horizontal="left"/>
      <protection hidden="1"/>
    </xf>
    <xf numFmtId="0" fontId="28" fillId="36" borderId="152" xfId="30" applyNumberFormat="1" applyFont="1" applyFill="1" applyBorder="1" applyAlignment="1" applyProtection="1">
      <alignment horizontal="left"/>
      <protection hidden="1"/>
    </xf>
    <xf numFmtId="0" fontId="22" fillId="214" borderId="152" xfId="14" applyFill="1" applyBorder="1" applyProtection="1">
      <alignment vertical="top"/>
      <protection hidden="1"/>
    </xf>
    <xf numFmtId="0" fontId="59" fillId="41" borderId="41" xfId="0" applyNumberFormat="1" applyFont="1" applyFill="1" applyBorder="1" applyAlignment="1" applyProtection="1">
      <alignment horizontal="center" wrapText="1"/>
      <protection hidden="1"/>
    </xf>
    <xf numFmtId="0" fontId="59" fillId="74" borderId="81" xfId="0" applyNumberFormat="1" applyFont="1" applyFill="1" applyBorder="1" applyAlignment="1" applyProtection="1">
      <alignment horizontal="center" wrapText="1"/>
      <protection hidden="1"/>
    </xf>
    <xf numFmtId="165" fontId="17" fillId="120" borderId="126" xfId="30" applyNumberFormat="1" applyFont="1" applyFill="1" applyBorder="1" applyAlignment="1" applyProtection="1">
      <alignment horizontal="left"/>
      <protection hidden="1"/>
    </xf>
    <xf numFmtId="165" fontId="17" fillId="122" borderId="128" xfId="30" applyNumberFormat="1" applyFont="1" applyFill="1" applyBorder="1" applyAlignment="1" applyProtection="1">
      <alignment horizontal="left"/>
      <protection hidden="1"/>
    </xf>
    <xf numFmtId="165" fontId="17" fillId="121" borderId="127" xfId="30" applyNumberFormat="1" applyFont="1" applyFill="1" applyBorder="1" applyAlignment="1" applyProtection="1">
      <alignment horizontal="left"/>
      <protection hidden="1"/>
    </xf>
    <xf numFmtId="1" fontId="24" fillId="218" borderId="233" xfId="30" applyNumberFormat="1" applyFont="1" applyFill="1" applyBorder="1" applyAlignment="1" applyProtection="1">
      <alignment horizontal="left"/>
      <protection hidden="1"/>
    </xf>
    <xf numFmtId="1" fontId="24" fillId="219" borderId="234" xfId="30" applyNumberFormat="1" applyFont="1" applyFill="1" applyBorder="1" applyAlignment="1" applyProtection="1">
      <alignment horizontal="left"/>
      <protection hidden="1"/>
    </xf>
    <xf numFmtId="1" fontId="24" fillId="220" borderId="235" xfId="30" applyNumberFormat="1" applyFont="1" applyFill="1" applyBorder="1" applyAlignment="1" applyProtection="1">
      <alignment horizontal="left"/>
      <protection hidden="1"/>
    </xf>
    <xf numFmtId="165" fontId="17" fillId="116" borderId="122" xfId="30" applyNumberFormat="1" applyFont="1" applyFill="1" applyBorder="1" applyAlignment="1" applyProtection="1">
      <alignment horizontal="left"/>
      <protection hidden="1"/>
    </xf>
    <xf numFmtId="165" fontId="17" fillId="43" borderId="43" xfId="30" applyNumberFormat="1" applyFont="1" applyFill="1" applyBorder="1" applyAlignment="1" applyProtection="1">
      <alignment horizontal="left"/>
      <protection hidden="1"/>
    </xf>
    <xf numFmtId="165" fontId="17" fillId="114" borderId="120" xfId="30" applyNumberFormat="1" applyFont="1" applyFill="1" applyBorder="1" applyAlignment="1" applyProtection="1">
      <alignment horizontal="left"/>
      <protection hidden="1"/>
    </xf>
    <xf numFmtId="165" fontId="17" fillId="117" borderId="123" xfId="30" applyNumberFormat="1" applyFont="1" applyFill="1" applyBorder="1" applyAlignment="1" applyProtection="1">
      <alignment horizontal="left"/>
      <protection hidden="1"/>
    </xf>
    <xf numFmtId="165" fontId="17" fillId="113" borderId="119" xfId="30" applyNumberFormat="1" applyFont="1" applyFill="1" applyBorder="1" applyAlignment="1" applyProtection="1">
      <alignment horizontal="left"/>
      <protection hidden="1"/>
    </xf>
    <xf numFmtId="165" fontId="17" fillId="115" borderId="121" xfId="30" applyNumberFormat="1" applyFont="1" applyFill="1" applyBorder="1" applyAlignment="1" applyProtection="1">
      <alignment horizontal="left"/>
      <protection hidden="1"/>
    </xf>
    <xf numFmtId="0" fontId="28" fillId="36" borderId="35" xfId="22" applyNumberFormat="1" applyFont="1" applyFill="1" applyBorder="1" applyAlignment="1" applyProtection="1">
      <alignment horizontal="left"/>
      <protection hidden="1"/>
    </xf>
    <xf numFmtId="0" fontId="17" fillId="36" borderId="35" xfId="30" applyNumberFormat="1" applyFont="1" applyFill="1" applyBorder="1" applyAlignment="1" applyProtection="1">
      <protection hidden="1"/>
    </xf>
    <xf numFmtId="0" fontId="17" fillId="49" borderId="52" xfId="30" applyNumberFormat="1" applyFont="1" applyFill="1" applyBorder="1" applyAlignment="1" applyProtection="1">
      <alignment horizontal="right"/>
      <protection hidden="1"/>
    </xf>
    <xf numFmtId="2" fontId="17" fillId="54" borderId="58" xfId="30" applyNumberFormat="1" applyFont="1" applyFill="1" applyBorder="1" applyAlignment="1" applyProtection="1">
      <alignment horizontal="center"/>
      <protection hidden="1"/>
    </xf>
    <xf numFmtId="0" fontId="17" fillId="44" borderId="44" xfId="30" applyNumberFormat="1" applyFont="1" applyFill="1" applyBorder="1" applyAlignment="1" applyProtection="1">
      <alignment horizontal="right" wrapText="1"/>
      <protection hidden="1"/>
    </xf>
    <xf numFmtId="0" fontId="17" fillId="83" borderId="90" xfId="30" applyNumberFormat="1" applyFont="1" applyFill="1" applyBorder="1" applyAlignment="1" applyProtection="1">
      <alignment horizontal="right" wrapText="1"/>
      <protection hidden="1"/>
    </xf>
    <xf numFmtId="0" fontId="17" fillId="94" borderId="98" xfId="30" applyNumberFormat="1" applyFont="1" applyFill="1" applyBorder="1" applyAlignment="1" applyProtection="1">
      <alignment horizontal="center"/>
      <protection hidden="1"/>
    </xf>
    <xf numFmtId="0" fontId="17" fillId="119" borderId="125" xfId="30" applyNumberFormat="1" applyFont="1" applyFill="1" applyBorder="1" applyAlignment="1" applyProtection="1">
      <alignment horizontal="center"/>
      <protection hidden="1"/>
    </xf>
    <xf numFmtId="0" fontId="28" fillId="36" borderId="35" xfId="30" applyNumberFormat="1" applyFont="1" applyFill="1" applyBorder="1" applyAlignment="1" applyProtection="1">
      <alignment horizontal="left" wrapText="1"/>
      <protection hidden="1"/>
    </xf>
    <xf numFmtId="0" fontId="17" fillId="36" borderId="35" xfId="30" applyNumberFormat="1" applyFont="1" applyFill="1" applyBorder="1" applyAlignment="1" applyProtection="1">
      <alignment horizontal="left"/>
      <protection hidden="1"/>
    </xf>
    <xf numFmtId="0" fontId="17" fillId="38" borderId="37" xfId="30" applyNumberFormat="1" applyFont="1" applyFill="1" applyBorder="1" applyAlignment="1" applyProtection="1">
      <alignment horizontal="left"/>
      <protection hidden="1"/>
    </xf>
    <xf numFmtId="0" fontId="17" fillId="49" borderId="52" xfId="30" applyNumberFormat="1" applyFont="1" applyFill="1" applyBorder="1" applyAlignment="1" applyProtection="1">
      <alignment horizontal="left"/>
      <protection hidden="1"/>
    </xf>
    <xf numFmtId="0" fontId="17" fillId="55" borderId="59" xfId="30" applyNumberFormat="1" applyFont="1" applyFill="1" applyBorder="1" applyAlignment="1" applyProtection="1">
      <alignment horizontal="left"/>
      <protection hidden="1"/>
    </xf>
    <xf numFmtId="0" fontId="17" fillId="94" borderId="98" xfId="30" applyNumberFormat="1" applyFont="1" applyFill="1" applyBorder="1" applyAlignment="1" applyProtection="1">
      <alignment horizontal="left"/>
      <protection hidden="1"/>
    </xf>
    <xf numFmtId="0" fontId="17" fillId="181" borderId="196" xfId="30" applyNumberFormat="1" applyFont="1" applyFill="1" applyBorder="1" applyAlignment="1" applyProtection="1">
      <alignment horizontal="left"/>
      <protection hidden="1"/>
    </xf>
    <xf numFmtId="0" fontId="17" fillId="119" borderId="125" xfId="30" applyNumberFormat="1" applyFont="1" applyFill="1" applyBorder="1" applyAlignment="1" applyProtection="1">
      <alignment horizontal="left"/>
      <protection hidden="1"/>
    </xf>
    <xf numFmtId="1" fontId="17" fillId="179" borderId="194" xfId="30" applyNumberFormat="1" applyFont="1" applyFill="1" applyBorder="1" applyAlignment="1" applyProtection="1">
      <alignment horizontal="left"/>
      <protection hidden="1"/>
    </xf>
    <xf numFmtId="1" fontId="17" fillId="180" borderId="195" xfId="30" applyNumberFormat="1" applyFont="1" applyFill="1" applyBorder="1" applyAlignment="1" applyProtection="1">
      <alignment horizontal="left"/>
      <protection hidden="1"/>
    </xf>
    <xf numFmtId="1" fontId="17" fillId="178" borderId="193" xfId="30" applyNumberFormat="1" applyFont="1" applyFill="1" applyBorder="1" applyAlignment="1" applyProtection="1">
      <alignment horizontal="left"/>
      <protection hidden="1"/>
    </xf>
    <xf numFmtId="0" fontId="17" fillId="44" borderId="44" xfId="0" applyNumberFormat="1" applyFont="1" applyFill="1" applyBorder="1" applyAlignment="1" applyProtection="1">
      <alignment horizontal="left"/>
      <protection hidden="1"/>
    </xf>
    <xf numFmtId="0" fontId="17" fillId="83" borderId="90" xfId="0" applyNumberFormat="1" applyFont="1" applyFill="1" applyBorder="1" applyAlignment="1" applyProtection="1">
      <alignment horizontal="left"/>
      <protection hidden="1"/>
    </xf>
    <xf numFmtId="0" fontId="118" fillId="0" borderId="65" xfId="14" applyNumberFormat="1" applyFont="1" applyFill="1" applyBorder="1" applyAlignment="1" applyProtection="1">
      <protection hidden="1"/>
    </xf>
    <xf numFmtId="0" fontId="118" fillId="0" borderId="137" xfId="14" applyNumberFormat="1" applyFont="1" applyFill="1" applyBorder="1" applyAlignment="1" applyProtection="1">
      <protection hidden="1"/>
    </xf>
    <xf numFmtId="0" fontId="128" fillId="0" borderId="102" xfId="14" applyNumberFormat="1" applyFont="1" applyFill="1" applyBorder="1" applyAlignment="1" applyProtection="1">
      <alignment horizontal="left"/>
      <protection hidden="1"/>
    </xf>
    <xf numFmtId="0" fontId="128" fillId="0" borderId="0" xfId="14" applyNumberFormat="1" applyFont="1" applyFill="1" applyBorder="1" applyAlignment="1" applyProtection="1">
      <alignment horizontal="left"/>
      <protection hidden="1"/>
    </xf>
    <xf numFmtId="0" fontId="128" fillId="0" borderId="54" xfId="14" applyNumberFormat="1" applyFont="1" applyFill="1" applyBorder="1" applyAlignment="1" applyProtection="1">
      <alignment horizontal="left"/>
      <protection hidden="1"/>
    </xf>
    <xf numFmtId="0" fontId="81" fillId="44" borderId="44" xfId="0" applyNumberFormat="1" applyFont="1" applyFill="1" applyBorder="1" applyAlignment="1" applyProtection="1">
      <alignment horizontal="center"/>
      <protection hidden="1"/>
    </xf>
    <xf numFmtId="0" fontId="27" fillId="0" borderId="0" xfId="0" applyNumberFormat="1" applyFont="1" applyFill="1" applyBorder="1" applyAlignment="1" applyProtection="1">
      <protection hidden="1"/>
    </xf>
    <xf numFmtId="0" fontId="27" fillId="0" borderId="54" xfId="0" applyNumberFormat="1" applyFont="1" applyFill="1" applyBorder="1" applyAlignment="1" applyProtection="1">
      <protection hidden="1"/>
    </xf>
    <xf numFmtId="0" fontId="28" fillId="36" borderId="35" xfId="30" applyNumberFormat="1" applyFont="1" applyFill="1" applyBorder="1" applyAlignment="1" applyProtection="1">
      <protection hidden="1"/>
    </xf>
    <xf numFmtId="0" fontId="128" fillId="0" borderId="157" xfId="14" applyNumberFormat="1" applyFont="1" applyFill="1" applyBorder="1" applyAlignment="1" applyProtection="1">
      <alignment horizontal="left"/>
      <protection hidden="1"/>
    </xf>
    <xf numFmtId="0" fontId="17" fillId="50" borderId="53" xfId="30" applyNumberFormat="1" applyFont="1" applyFill="1" applyBorder="1" applyAlignment="1" applyProtection="1">
      <alignment horizontal="left"/>
      <protection hidden="1"/>
    </xf>
    <xf numFmtId="0" fontId="17" fillId="97" borderId="101" xfId="30" applyNumberFormat="1" applyFont="1" applyFill="1" applyBorder="1" applyAlignment="1" applyProtection="1">
      <alignment horizontal="left"/>
      <protection hidden="1"/>
    </xf>
    <xf numFmtId="0" fontId="17" fillId="50" borderId="53" xfId="0" applyNumberFormat="1" applyFont="1" applyFill="1" applyBorder="1" applyAlignment="1" applyProtection="1">
      <alignment horizontal="left"/>
      <protection hidden="1"/>
    </xf>
    <xf numFmtId="0" fontId="17" fillId="97" borderId="101" xfId="0" applyNumberFormat="1" applyFont="1" applyFill="1" applyBorder="1" applyAlignment="1" applyProtection="1">
      <alignment horizontal="left"/>
      <protection hidden="1"/>
    </xf>
    <xf numFmtId="0" fontId="17" fillId="54" borderId="58" xfId="0" applyNumberFormat="1" applyFont="1" applyFill="1" applyBorder="1" applyAlignment="1" applyProtection="1">
      <alignment horizontal="left"/>
      <protection hidden="1"/>
    </xf>
    <xf numFmtId="0" fontId="96" fillId="0" borderId="0" xfId="0" applyNumberFormat="1" applyFont="1" applyFill="1" applyBorder="1" applyAlignment="1" applyProtection="1">
      <alignment horizontal="center" vertical="top"/>
      <protection hidden="1"/>
    </xf>
    <xf numFmtId="0" fontId="96" fillId="0" borderId="54" xfId="0" applyNumberFormat="1" applyFont="1" applyFill="1" applyBorder="1" applyAlignment="1" applyProtection="1">
      <alignment horizontal="center" vertical="top"/>
      <protection hidden="1"/>
    </xf>
    <xf numFmtId="0" fontId="17" fillId="0" borderId="102" xfId="0" applyNumberFormat="1" applyFont="1" applyFill="1" applyBorder="1" applyAlignment="1" applyProtection="1">
      <protection hidden="1"/>
    </xf>
    <xf numFmtId="0" fontId="17" fillId="0" borderId="54" xfId="0" applyNumberFormat="1" applyFont="1" applyFill="1" applyBorder="1" applyAlignment="1" applyProtection="1">
      <protection hidden="1"/>
    </xf>
    <xf numFmtId="0" fontId="17" fillId="44" borderId="44" xfId="33" applyNumberFormat="1" applyFont="1" applyFill="1" applyBorder="1" applyAlignment="1" applyProtection="1">
      <alignment horizontal="left"/>
      <protection hidden="1"/>
    </xf>
    <xf numFmtId="0" fontId="17" fillId="36" borderId="35" xfId="33" applyNumberFormat="1" applyFont="1" applyFill="1" applyBorder="1" applyAlignment="1" applyProtection="1">
      <alignment horizontal="left"/>
      <protection hidden="1"/>
    </xf>
    <xf numFmtId="0" fontId="17" fillId="83" borderId="90" xfId="33" applyNumberFormat="1" applyFont="1" applyFill="1" applyBorder="1" applyAlignment="1" applyProtection="1">
      <alignment horizontal="left"/>
      <protection hidden="1"/>
    </xf>
    <xf numFmtId="0" fontId="17" fillId="0" borderId="0" xfId="0" applyNumberFormat="1" applyFont="1" applyFill="1" applyBorder="1" applyAlignment="1" applyProtection="1">
      <alignment horizontal="left" vertical="center" wrapText="1"/>
      <protection hidden="1"/>
    </xf>
    <xf numFmtId="0" fontId="13" fillId="0" borderId="0" xfId="0" applyNumberFormat="1" applyFont="1" applyFill="1" applyBorder="1" applyAlignment="1" applyProtection="1">
      <alignment horizontal="left" vertical="center" wrapText="1"/>
      <protection hidden="1"/>
    </xf>
    <xf numFmtId="0" fontId="13" fillId="0" borderId="54" xfId="0" applyNumberFormat="1" applyFont="1" applyFill="1" applyBorder="1" applyAlignment="1" applyProtection="1">
      <alignment horizontal="left" vertical="center" wrapText="1"/>
      <protection hidden="1"/>
    </xf>
    <xf numFmtId="0" fontId="17" fillId="83" borderId="90" xfId="30" applyNumberFormat="1" applyFont="1" applyFill="1" applyBorder="1" applyAlignment="1" applyProtection="1">
      <alignment horizontal="left" wrapText="1"/>
      <protection hidden="1"/>
    </xf>
    <xf numFmtId="0" fontId="17" fillId="38" borderId="237" xfId="30" applyNumberFormat="1" applyFont="1" applyFill="1" applyBorder="1" applyAlignment="1" applyProtection="1">
      <alignment horizontal="left" wrapText="1"/>
      <protection hidden="1"/>
    </xf>
    <xf numFmtId="0" fontId="17" fillId="49" borderId="238" xfId="30" applyNumberFormat="1" applyFont="1" applyFill="1" applyBorder="1" applyAlignment="1" applyProtection="1">
      <alignment horizontal="left" wrapText="1"/>
      <protection hidden="1"/>
    </xf>
    <xf numFmtId="0" fontId="17" fillId="55" borderId="212" xfId="30" applyNumberFormat="1" applyFont="1" applyFill="1" applyBorder="1" applyAlignment="1" applyProtection="1">
      <alignment horizontal="left" wrapText="1"/>
      <protection hidden="1"/>
    </xf>
    <xf numFmtId="165" fontId="20" fillId="38" borderId="37" xfId="30" applyNumberFormat="1" applyFont="1" applyFill="1" applyBorder="1" applyAlignment="1" applyProtection="1">
      <alignment horizontal="left"/>
      <protection hidden="1"/>
    </xf>
    <xf numFmtId="165" fontId="20" fillId="49" borderId="52" xfId="30" applyNumberFormat="1" applyFont="1" applyFill="1" applyBorder="1" applyAlignment="1" applyProtection="1">
      <alignment horizontal="left"/>
      <protection hidden="1"/>
    </xf>
    <xf numFmtId="165" fontId="20" fillId="55" borderId="59" xfId="30" applyNumberFormat="1" applyFont="1" applyFill="1" applyBorder="1" applyAlignment="1" applyProtection="1">
      <alignment horizontal="left"/>
      <protection hidden="1"/>
    </xf>
    <xf numFmtId="2" fontId="17" fillId="44" borderId="44" xfId="30" applyNumberFormat="1" applyFont="1" applyFill="1" applyBorder="1" applyAlignment="1" applyProtection="1">
      <alignment horizontal="left"/>
      <protection hidden="1"/>
    </xf>
    <xf numFmtId="2" fontId="17" fillId="36" borderId="35" xfId="30" applyNumberFormat="1" applyFont="1" applyFill="1" applyBorder="1" applyAlignment="1" applyProtection="1">
      <alignment horizontal="left"/>
      <protection hidden="1"/>
    </xf>
    <xf numFmtId="0" fontId="28" fillId="49" borderId="238" xfId="30" applyNumberFormat="1" applyFont="1" applyFill="1" applyBorder="1" applyAlignment="1" applyProtection="1">
      <alignment horizontal="left"/>
      <protection hidden="1"/>
    </xf>
    <xf numFmtId="0" fontId="45" fillId="44" borderId="44" xfId="23" applyNumberFormat="1" applyFont="1" applyFill="1" applyBorder="1" applyAlignment="1" applyProtection="1">
      <alignment horizontal="left"/>
      <protection hidden="1"/>
    </xf>
    <xf numFmtId="0" fontId="45" fillId="36" borderId="35" xfId="23" applyNumberFormat="1" applyFont="1" applyFill="1" applyBorder="1" applyAlignment="1" applyProtection="1">
      <alignment horizontal="left"/>
      <protection hidden="1"/>
    </xf>
    <xf numFmtId="0" fontId="89" fillId="44" borderId="44" xfId="30" applyNumberFormat="1" applyFont="1" applyFill="1" applyBorder="1" applyAlignment="1" applyProtection="1">
      <alignment horizontal="left"/>
      <protection hidden="1"/>
    </xf>
    <xf numFmtId="0" fontId="89" fillId="36" borderId="35" xfId="30" applyNumberFormat="1" applyFont="1" applyFill="1" applyBorder="1" applyAlignment="1" applyProtection="1">
      <alignment horizontal="left"/>
      <protection hidden="1"/>
    </xf>
    <xf numFmtId="0" fontId="89" fillId="83" borderId="90" xfId="30" applyNumberFormat="1" applyFont="1" applyFill="1" applyBorder="1" applyAlignment="1" applyProtection="1">
      <alignment horizontal="left"/>
      <protection hidden="1"/>
    </xf>
    <xf numFmtId="0" fontId="17" fillId="44" borderId="44" xfId="23" applyNumberFormat="1" applyFont="1" applyFill="1" applyBorder="1" applyAlignment="1" applyProtection="1">
      <alignment horizontal="left"/>
      <protection hidden="1"/>
    </xf>
    <xf numFmtId="0" fontId="17" fillId="36" borderId="35" xfId="23" applyNumberFormat="1" applyFont="1" applyFill="1" applyBorder="1" applyAlignment="1" applyProtection="1">
      <alignment horizontal="left"/>
      <protection hidden="1"/>
    </xf>
    <xf numFmtId="165" fontId="17" fillId="44" borderId="44" xfId="30" applyNumberFormat="1" applyFont="1" applyFill="1" applyBorder="1" applyAlignment="1" applyProtection="1">
      <alignment horizontal="left" wrapText="1"/>
      <protection hidden="1"/>
    </xf>
    <xf numFmtId="165" fontId="17" fillId="36" borderId="35" xfId="30" applyNumberFormat="1" applyFont="1" applyFill="1" applyBorder="1" applyAlignment="1" applyProtection="1">
      <alignment horizontal="left" wrapText="1"/>
      <protection hidden="1"/>
    </xf>
    <xf numFmtId="165" fontId="17" fillId="83" borderId="90" xfId="30" applyNumberFormat="1" applyFont="1" applyFill="1" applyBorder="1" applyAlignment="1" applyProtection="1">
      <alignment horizontal="left" wrapText="1"/>
      <protection hidden="1"/>
    </xf>
    <xf numFmtId="0" fontId="24" fillId="44" borderId="44" xfId="30" applyNumberFormat="1" applyFont="1" applyFill="1" applyBorder="1" applyAlignment="1" applyProtection="1">
      <alignment horizontal="right"/>
      <protection hidden="1"/>
    </xf>
    <xf numFmtId="165" fontId="17" fillId="44" borderId="44" xfId="30" applyNumberFormat="1" applyFont="1" applyFill="1" applyBorder="1" applyAlignment="1" applyProtection="1">
      <alignment horizontal="left"/>
      <protection hidden="1"/>
    </xf>
    <xf numFmtId="165" fontId="17" fillId="36" borderId="35" xfId="30" applyNumberFormat="1" applyFont="1" applyFill="1" applyBorder="1" applyAlignment="1" applyProtection="1">
      <alignment horizontal="left"/>
      <protection hidden="1"/>
    </xf>
    <xf numFmtId="165" fontId="17" fillId="83" borderId="90" xfId="30" applyNumberFormat="1" applyFont="1" applyFill="1" applyBorder="1" applyAlignment="1" applyProtection="1">
      <alignment horizontal="left"/>
      <protection hidden="1"/>
    </xf>
    <xf numFmtId="165" fontId="20" fillId="44" borderId="44" xfId="30" applyNumberFormat="1" applyFont="1" applyFill="1" applyBorder="1" applyAlignment="1" applyProtection="1">
      <alignment horizontal="left"/>
      <protection hidden="1"/>
    </xf>
    <xf numFmtId="165" fontId="20" fillId="36" borderId="35" xfId="30" applyNumberFormat="1" applyFont="1" applyFill="1" applyBorder="1" applyAlignment="1" applyProtection="1">
      <alignment horizontal="left"/>
      <protection hidden="1"/>
    </xf>
    <xf numFmtId="165" fontId="20" fillId="83" borderId="90" xfId="30" applyNumberFormat="1" applyFont="1" applyFill="1" applyBorder="1" applyAlignment="1" applyProtection="1">
      <alignment horizontal="left"/>
      <protection hidden="1"/>
    </xf>
    <xf numFmtId="0" fontId="17" fillId="50" borderId="53" xfId="23" applyNumberFormat="1" applyFont="1" applyFill="1" applyBorder="1" applyAlignment="1" applyProtection="1">
      <alignment horizontal="left"/>
      <protection hidden="1"/>
    </xf>
    <xf numFmtId="0" fontId="17" fillId="97" borderId="101" xfId="23" applyNumberFormat="1" applyFont="1" applyFill="1" applyBorder="1" applyAlignment="1" applyProtection="1">
      <alignment horizontal="left"/>
      <protection hidden="1"/>
    </xf>
    <xf numFmtId="0" fontId="17" fillId="54" borderId="58" xfId="30" applyNumberFormat="1" applyFont="1" applyFill="1" applyBorder="1" applyAlignment="1" applyProtection="1">
      <alignment horizontal="left"/>
      <protection hidden="1"/>
    </xf>
    <xf numFmtId="0" fontId="28" fillId="36" borderId="35" xfId="23" applyNumberFormat="1" applyFont="1" applyFill="1" applyBorder="1" applyAlignment="1" applyProtection="1">
      <alignment horizontal="left"/>
      <protection hidden="1"/>
    </xf>
    <xf numFmtId="0" fontId="17" fillId="36" borderId="35" xfId="23" applyNumberFormat="1" applyFont="1" applyFill="1" applyBorder="1" applyAlignment="1" applyProtection="1">
      <protection hidden="1"/>
    </xf>
    <xf numFmtId="165" fontId="17" fillId="50" borderId="53" xfId="30" applyNumberFormat="1" applyFont="1" applyFill="1" applyBorder="1" applyAlignment="1" applyProtection="1">
      <alignment horizontal="left"/>
      <protection hidden="1"/>
    </xf>
    <xf numFmtId="165" fontId="17" fillId="97" borderId="101" xfId="30" applyNumberFormat="1" applyFont="1" applyFill="1" applyBorder="1" applyAlignment="1" applyProtection="1">
      <alignment horizontal="left"/>
      <protection hidden="1"/>
    </xf>
    <xf numFmtId="165" fontId="17" fillId="54" borderId="58" xfId="30" applyNumberFormat="1" applyFont="1" applyFill="1" applyBorder="1" applyAlignment="1" applyProtection="1">
      <alignment horizontal="left"/>
      <protection hidden="1"/>
    </xf>
    <xf numFmtId="0" fontId="45" fillId="44" borderId="44" xfId="30" applyNumberFormat="1" applyFont="1" applyFill="1" applyBorder="1" applyAlignment="1" applyProtection="1">
      <alignment horizontal="left"/>
      <protection hidden="1"/>
    </xf>
    <xf numFmtId="0" fontId="45" fillId="36" borderId="35" xfId="30" applyNumberFormat="1" applyFont="1" applyFill="1" applyBorder="1" applyAlignment="1" applyProtection="1">
      <alignment horizontal="left"/>
      <protection hidden="1"/>
    </xf>
    <xf numFmtId="0" fontId="45" fillId="44" borderId="202" xfId="30" applyNumberFormat="1" applyFont="1" applyFill="1" applyBorder="1" applyAlignment="1" applyProtection="1">
      <alignment horizontal="left" wrapText="1"/>
      <protection hidden="1"/>
    </xf>
    <xf numFmtId="0" fontId="45" fillId="36" borderId="152" xfId="30" applyNumberFormat="1" applyFont="1" applyFill="1" applyBorder="1" applyAlignment="1" applyProtection="1">
      <alignment horizontal="left" wrapText="1"/>
      <protection hidden="1"/>
    </xf>
    <xf numFmtId="0" fontId="45" fillId="83" borderId="210" xfId="30" applyNumberFormat="1" applyFont="1" applyFill="1" applyBorder="1" applyAlignment="1" applyProtection="1">
      <alignment horizontal="left" wrapText="1"/>
      <protection hidden="1"/>
    </xf>
    <xf numFmtId="0" fontId="17" fillId="38" borderId="37" xfId="23" applyNumberFormat="1" applyFont="1" applyFill="1" applyBorder="1" applyAlignment="1" applyProtection="1">
      <alignment horizontal="left" wrapText="1"/>
      <protection hidden="1"/>
    </xf>
    <xf numFmtId="0" fontId="17" fillId="49" borderId="52" xfId="23" applyNumberFormat="1" applyFont="1" applyFill="1" applyBorder="1" applyAlignment="1" applyProtection="1">
      <alignment horizontal="left" wrapText="1"/>
      <protection hidden="1"/>
    </xf>
    <xf numFmtId="0" fontId="17" fillId="38" borderId="37" xfId="0" applyNumberFormat="1" applyFont="1" applyFill="1" applyBorder="1" applyAlignment="1" applyProtection="1">
      <alignment horizontal="center"/>
      <protection hidden="1"/>
    </xf>
    <xf numFmtId="0" fontId="17" fillId="55" borderId="59" xfId="0" applyNumberFormat="1" applyFont="1" applyFill="1" applyBorder="1" applyAlignment="1" applyProtection="1">
      <alignment horizontal="center"/>
      <protection hidden="1"/>
    </xf>
    <xf numFmtId="0" fontId="17" fillId="49" borderId="52" xfId="0" applyNumberFormat="1" applyFont="1" applyFill="1" applyBorder="1" applyAlignment="1" applyProtection="1">
      <alignment horizontal="center"/>
      <protection hidden="1"/>
    </xf>
    <xf numFmtId="2" fontId="28" fillId="36" borderId="35" xfId="0" applyNumberFormat="1" applyFont="1" applyFill="1" applyBorder="1" applyAlignment="1" applyProtection="1">
      <protection hidden="1"/>
    </xf>
    <xf numFmtId="0" fontId="43" fillId="214" borderId="238" xfId="14" applyFont="1" applyFill="1" applyBorder="1" applyAlignment="1" applyProtection="1">
      <alignment horizontal="left"/>
      <protection hidden="1"/>
    </xf>
    <xf numFmtId="0" fontId="17" fillId="50" borderId="53" xfId="23" applyNumberFormat="1" applyFont="1" applyFill="1" applyBorder="1" applyAlignment="1" applyProtection="1">
      <alignment horizontal="left" wrapText="1"/>
      <protection hidden="1"/>
    </xf>
    <xf numFmtId="0" fontId="120" fillId="97" borderId="101" xfId="23" applyNumberFormat="1" applyFont="1" applyFill="1" applyBorder="1" applyAlignment="1" applyProtection="1">
      <alignment horizontal="left" wrapText="1"/>
      <protection hidden="1"/>
    </xf>
    <xf numFmtId="0" fontId="123" fillId="97" borderId="101" xfId="23" applyNumberFormat="1" applyFont="1" applyFill="1" applyBorder="1" applyAlignment="1" applyProtection="1">
      <alignment horizontal="left" wrapText="1"/>
      <protection hidden="1"/>
    </xf>
    <xf numFmtId="0" fontId="17" fillId="0" borderId="65" xfId="23" applyNumberFormat="1" applyFont="1" applyFill="1" applyBorder="1" applyAlignment="1" applyProtection="1">
      <alignment horizontal="center" wrapText="1"/>
      <protection hidden="1"/>
    </xf>
    <xf numFmtId="0" fontId="17" fillId="0" borderId="137" xfId="23" applyNumberFormat="1" applyFont="1" applyFill="1" applyBorder="1" applyAlignment="1" applyProtection="1">
      <alignment horizontal="center" wrapText="1"/>
      <protection hidden="1"/>
    </xf>
    <xf numFmtId="0" fontId="17" fillId="0" borderId="136" xfId="23" applyNumberFormat="1" applyFont="1" applyFill="1" applyBorder="1" applyAlignment="1" applyProtection="1">
      <alignment horizontal="center" wrapText="1"/>
      <protection hidden="1"/>
    </xf>
    <xf numFmtId="0" fontId="17" fillId="44" borderId="44" xfId="23" applyNumberFormat="1" applyFont="1" applyFill="1" applyBorder="1" applyAlignment="1" applyProtection="1">
      <alignment horizontal="center" wrapText="1"/>
      <protection hidden="1"/>
    </xf>
    <xf numFmtId="0" fontId="17" fillId="83" borderId="90" xfId="23" applyNumberFormat="1" applyFont="1" applyFill="1" applyBorder="1" applyAlignment="1" applyProtection="1">
      <alignment horizontal="center" wrapText="1"/>
      <protection hidden="1"/>
    </xf>
    <xf numFmtId="0" fontId="17" fillId="36" borderId="35" xfId="23" applyNumberFormat="1" applyFont="1" applyFill="1" applyBorder="1" applyAlignment="1" applyProtection="1">
      <alignment horizontal="center" wrapText="1"/>
      <protection hidden="1"/>
    </xf>
    <xf numFmtId="0" fontId="17" fillId="44" borderId="202" xfId="23" applyNumberFormat="1" applyFont="1" applyFill="1" applyBorder="1" applyAlignment="1" applyProtection="1">
      <alignment horizontal="left" wrapText="1"/>
      <protection hidden="1"/>
    </xf>
    <xf numFmtId="0" fontId="17" fillId="44" borderId="152" xfId="23" applyNumberFormat="1" applyFont="1" applyFill="1" applyBorder="1" applyAlignment="1" applyProtection="1">
      <alignment horizontal="left" wrapText="1"/>
      <protection hidden="1"/>
    </xf>
    <xf numFmtId="0" fontId="17" fillId="44" borderId="210" xfId="23" applyNumberFormat="1" applyFont="1" applyFill="1" applyBorder="1" applyAlignment="1" applyProtection="1">
      <alignment horizontal="left" wrapText="1"/>
      <protection hidden="1"/>
    </xf>
    <xf numFmtId="0" fontId="17" fillId="51" borderId="55" xfId="30" applyNumberFormat="1" applyFont="1" applyFill="1" applyBorder="1" applyAlignment="1" applyProtection="1">
      <alignment horizontal="center" wrapText="1"/>
      <protection hidden="1"/>
    </xf>
    <xf numFmtId="0" fontId="122" fillId="51" borderId="55" xfId="30" applyNumberFormat="1" applyFont="1" applyFill="1" applyBorder="1" applyAlignment="1" applyProtection="1">
      <alignment horizontal="center" wrapText="1"/>
      <protection hidden="1"/>
    </xf>
    <xf numFmtId="0" fontId="28" fillId="49" borderId="52" xfId="30" applyNumberFormat="1" applyFont="1" applyFill="1" applyBorder="1" applyAlignment="1" applyProtection="1">
      <alignment horizontal="left"/>
      <protection hidden="1"/>
    </xf>
    <xf numFmtId="0" fontId="21" fillId="50" borderId="53" xfId="0" applyNumberFormat="1" applyFont="1" applyFill="1" applyBorder="1" applyAlignment="1" applyProtection="1">
      <protection hidden="1"/>
    </xf>
    <xf numFmtId="0" fontId="21" fillId="97" borderId="101" xfId="0" applyNumberFormat="1" applyFont="1" applyFill="1" applyBorder="1" applyAlignment="1" applyProtection="1">
      <protection hidden="1"/>
    </xf>
    <xf numFmtId="0" fontId="113" fillId="97" borderId="101" xfId="0" applyNumberFormat="1" applyFont="1" applyFill="1" applyBorder="1" applyAlignment="1" applyProtection="1">
      <protection hidden="1"/>
    </xf>
    <xf numFmtId="0" fontId="113" fillId="54" borderId="58" xfId="0" applyNumberFormat="1" applyFont="1" applyFill="1" applyBorder="1" applyAlignment="1" applyProtection="1">
      <protection hidden="1"/>
    </xf>
    <xf numFmtId="0" fontId="17" fillId="36" borderId="35" xfId="0" applyNumberFormat="1" applyFont="1" applyFill="1" applyBorder="1" applyAlignment="1" applyProtection="1">
      <protection hidden="1"/>
    </xf>
    <xf numFmtId="0" fontId="116" fillId="36" borderId="35" xfId="0" applyNumberFormat="1" applyFont="1" applyFill="1" applyBorder="1" applyAlignment="1" applyProtection="1">
      <protection hidden="1"/>
    </xf>
    <xf numFmtId="0" fontId="17" fillId="38" borderId="37" xfId="0" applyNumberFormat="1" applyFont="1" applyFill="1" applyBorder="1" applyAlignment="1" applyProtection="1">
      <protection hidden="1"/>
    </xf>
    <xf numFmtId="0" fontId="17" fillId="49" borderId="52" xfId="0" applyNumberFormat="1" applyFont="1" applyFill="1" applyBorder="1" applyAlignment="1" applyProtection="1">
      <protection hidden="1"/>
    </xf>
    <xf numFmtId="0" fontId="116" fillId="49" borderId="52" xfId="0" applyNumberFormat="1" applyFont="1" applyFill="1" applyBorder="1" applyAlignment="1" applyProtection="1">
      <protection hidden="1"/>
    </xf>
    <xf numFmtId="0" fontId="17" fillId="55" borderId="59" xfId="0" applyNumberFormat="1" applyFont="1" applyFill="1" applyBorder="1" applyAlignment="1" applyProtection="1">
      <protection hidden="1"/>
    </xf>
    <xf numFmtId="0" fontId="17" fillId="0" borderId="65" xfId="23" applyNumberFormat="1" applyFont="1" applyFill="1" applyBorder="1" applyAlignment="1" applyProtection="1">
      <alignment horizontal="left" wrapText="1"/>
      <protection hidden="1"/>
    </xf>
    <xf numFmtId="0" fontId="17" fillId="0" borderId="136" xfId="23" applyNumberFormat="1" applyFont="1" applyFill="1" applyBorder="1" applyAlignment="1" applyProtection="1">
      <alignment horizontal="left" wrapText="1"/>
      <protection hidden="1"/>
    </xf>
    <xf numFmtId="0" fontId="17" fillId="0" borderId="137" xfId="23" applyNumberFormat="1" applyFont="1" applyFill="1" applyBorder="1" applyAlignment="1" applyProtection="1">
      <alignment horizontal="left" wrapText="1"/>
      <protection hidden="1"/>
    </xf>
    <xf numFmtId="0" fontId="17" fillId="36" borderId="152" xfId="0" applyNumberFormat="1" applyFont="1" applyFill="1" applyBorder="1" applyAlignment="1" applyProtection="1">
      <alignment horizontal="left"/>
      <protection hidden="1"/>
    </xf>
    <xf numFmtId="1" fontId="95" fillId="51" borderId="55" xfId="30" applyNumberFormat="1" applyFont="1" applyFill="1" applyBorder="1" applyAlignment="1" applyProtection="1">
      <alignment horizontal="center"/>
      <protection hidden="1"/>
    </xf>
    <xf numFmtId="0" fontId="20" fillId="51" borderId="55" xfId="30" applyNumberFormat="1" applyFont="1" applyFill="1" applyBorder="1" applyAlignment="1" applyProtection="1">
      <alignment horizontal="left"/>
      <protection hidden="1"/>
    </xf>
    <xf numFmtId="0" fontId="17" fillId="51" borderId="55" xfId="30" applyNumberFormat="1" applyFont="1" applyFill="1" applyBorder="1" applyAlignment="1" applyProtection="1">
      <protection hidden="1"/>
    </xf>
    <xf numFmtId="0" fontId="17" fillId="51" borderId="55" xfId="0" applyNumberFormat="1" applyFont="1" applyFill="1" applyBorder="1" applyAlignment="1" applyProtection="1">
      <alignment horizontal="center"/>
      <protection hidden="1"/>
    </xf>
    <xf numFmtId="0" fontId="19" fillId="215" borderId="230" xfId="23" applyNumberFormat="1" applyFont="1" applyFill="1" applyBorder="1" applyAlignment="1" applyProtection="1">
      <alignment horizontal="left"/>
      <protection hidden="1"/>
    </xf>
    <xf numFmtId="0" fontId="19" fillId="216" borderId="231" xfId="23" applyNumberFormat="1" applyFont="1" applyFill="1" applyBorder="1" applyAlignment="1" applyProtection="1">
      <alignment horizontal="left"/>
      <protection hidden="1"/>
    </xf>
    <xf numFmtId="0" fontId="19" fillId="217" borderId="232" xfId="23" applyNumberFormat="1" applyFont="1" applyFill="1" applyBorder="1" applyAlignment="1" applyProtection="1">
      <alignment horizontal="left"/>
      <protection hidden="1"/>
    </xf>
    <xf numFmtId="165" fontId="17" fillId="194" borderId="208" xfId="30" applyNumberFormat="1" applyFont="1" applyFill="1" applyBorder="1" applyAlignment="1" applyProtection="1">
      <alignment horizontal="left"/>
      <protection hidden="1"/>
    </xf>
    <xf numFmtId="165" fontId="17" fillId="195" borderId="209" xfId="30" applyNumberFormat="1" applyFont="1" applyFill="1" applyBorder="1" applyAlignment="1" applyProtection="1">
      <alignment horizontal="left"/>
      <protection hidden="1"/>
    </xf>
    <xf numFmtId="165" fontId="17" fillId="182" borderId="197" xfId="30" applyNumberFormat="1" applyFont="1" applyFill="1" applyBorder="1" applyAlignment="1" applyProtection="1">
      <alignment horizontal="left"/>
      <protection hidden="1"/>
    </xf>
    <xf numFmtId="165" fontId="17" fillId="6" borderId="5" xfId="30" applyNumberFormat="1" applyFont="1" applyFill="1" applyBorder="1" applyAlignment="1" applyProtection="1">
      <alignment horizontal="left"/>
      <protection hidden="1"/>
    </xf>
    <xf numFmtId="0" fontId="89" fillId="38" borderId="37" xfId="30" applyNumberFormat="1" applyFont="1" applyFill="1" applyBorder="1" applyAlignment="1" applyProtection="1">
      <alignment horizontal="left"/>
      <protection hidden="1"/>
    </xf>
    <xf numFmtId="0" fontId="89" fillId="49" borderId="52" xfId="30" applyNumberFormat="1" applyFont="1" applyFill="1" applyBorder="1" applyAlignment="1" applyProtection="1">
      <alignment horizontal="left"/>
      <protection hidden="1"/>
    </xf>
    <xf numFmtId="0" fontId="89" fillId="55" borderId="59" xfId="30" applyNumberFormat="1" applyFont="1" applyFill="1" applyBorder="1" applyAlignment="1" applyProtection="1">
      <alignment horizontal="left"/>
      <protection hidden="1"/>
    </xf>
    <xf numFmtId="1" fontId="20" fillId="215" borderId="230" xfId="30" applyNumberFormat="1" applyFont="1" applyFill="1" applyBorder="1" applyAlignment="1" applyProtection="1">
      <alignment horizontal="center"/>
      <protection hidden="1"/>
    </xf>
    <xf numFmtId="1" fontId="20" fillId="216" borderId="231" xfId="30" applyNumberFormat="1" applyFont="1" applyFill="1" applyBorder="1" applyAlignment="1" applyProtection="1">
      <alignment horizontal="center"/>
      <protection hidden="1"/>
    </xf>
    <xf numFmtId="1" fontId="20" fillId="217" borderId="232" xfId="30" applyNumberFormat="1" applyFont="1" applyFill="1" applyBorder="1" applyAlignment="1" applyProtection="1">
      <alignment horizontal="center"/>
      <protection hidden="1"/>
    </xf>
    <xf numFmtId="2" fontId="17" fillId="50" borderId="53" xfId="30" applyNumberFormat="1" applyFont="1" applyFill="1" applyBorder="1" applyAlignment="1" applyProtection="1">
      <alignment horizontal="left"/>
      <protection hidden="1"/>
    </xf>
    <xf numFmtId="2" fontId="17" fillId="97" borderId="101" xfId="30" applyNumberFormat="1" applyFont="1" applyFill="1" applyBorder="1" applyAlignment="1" applyProtection="1">
      <alignment horizontal="left"/>
      <protection hidden="1"/>
    </xf>
    <xf numFmtId="165" fontId="17" fillId="44" borderId="44" xfId="30" applyNumberFormat="1" applyFont="1" applyFill="1" applyBorder="1" applyAlignment="1" applyProtection="1">
      <protection hidden="1"/>
    </xf>
    <xf numFmtId="165" fontId="17" fillId="36" borderId="35" xfId="30" applyNumberFormat="1" applyFont="1" applyFill="1" applyBorder="1" applyAlignment="1" applyProtection="1">
      <protection hidden="1"/>
    </xf>
    <xf numFmtId="165" fontId="17" fillId="156" borderId="170" xfId="30" applyNumberFormat="1" applyFont="1" applyFill="1" applyBorder="1" applyAlignment="1" applyProtection="1">
      <alignment horizontal="left"/>
      <protection hidden="1"/>
    </xf>
    <xf numFmtId="0" fontId="7" fillId="106" borderId="111" xfId="30" applyNumberFormat="1" applyFont="1" applyFill="1" applyBorder="1" applyAlignment="1" applyProtection="1">
      <alignment horizontal="center"/>
    </xf>
    <xf numFmtId="0" fontId="7" fillId="174" borderId="189" xfId="30" applyNumberFormat="1" applyFont="1" applyFill="1" applyBorder="1" applyAlignment="1" applyProtection="1">
      <alignment horizontal="center"/>
    </xf>
    <xf numFmtId="0" fontId="7" fillId="107" borderId="112" xfId="30" applyNumberFormat="1" applyFont="1" applyFill="1" applyBorder="1" applyAlignment="1" applyProtection="1">
      <alignment horizontal="center"/>
    </xf>
    <xf numFmtId="0" fontId="7" fillId="176" borderId="191" xfId="30" applyNumberFormat="1" applyFont="1" applyFill="1" applyBorder="1" applyAlignment="1" applyProtection="1">
      <alignment horizontal="center"/>
    </xf>
    <xf numFmtId="164" fontId="234" fillId="105" borderId="150" xfId="260" applyNumberFormat="1" applyFont="1" applyFill="1" applyBorder="1" applyAlignment="1" applyProtection="1">
      <alignment horizontal="center" vertical="center" wrapText="1"/>
    </xf>
    <xf numFmtId="164" fontId="234" fillId="108" borderId="192" xfId="260" applyNumberFormat="1" applyFont="1" applyFill="1" applyBorder="1" applyAlignment="1" applyProtection="1">
      <alignment horizontal="center" vertical="center" wrapText="1"/>
    </xf>
    <xf numFmtId="164" fontId="17" fillId="221" borderId="237" xfId="260" applyNumberFormat="1" applyFont="1" applyFill="1" applyBorder="1" applyAlignment="1" applyProtection="1">
      <alignment horizontal="left"/>
      <protection hidden="1"/>
    </xf>
    <xf numFmtId="164" fontId="17" fillId="222" borderId="238" xfId="260" applyNumberFormat="1" applyFont="1" applyFill="1" applyBorder="1" applyAlignment="1" applyProtection="1">
      <alignment horizontal="left"/>
      <protection hidden="1"/>
    </xf>
    <xf numFmtId="164" fontId="17" fillId="198" borderId="212" xfId="260" applyNumberFormat="1" applyFont="1" applyFill="1" applyBorder="1" applyAlignment="1" applyProtection="1">
      <alignment horizontal="left"/>
      <protection hidden="1"/>
    </xf>
    <xf numFmtId="165" fontId="17" fillId="44" borderId="202" xfId="30" applyNumberFormat="1" applyFont="1" applyFill="1" applyBorder="1" applyAlignment="1" applyProtection="1">
      <alignment horizontal="left"/>
      <protection hidden="1"/>
    </xf>
    <xf numFmtId="165" fontId="17" fillId="44" borderId="152" xfId="30" applyNumberFormat="1" applyFont="1" applyFill="1" applyBorder="1" applyAlignment="1" applyProtection="1">
      <alignment horizontal="left"/>
      <protection hidden="1"/>
    </xf>
    <xf numFmtId="165" fontId="17" fillId="44" borderId="210" xfId="30" applyNumberFormat="1" applyFont="1" applyFill="1" applyBorder="1" applyAlignment="1" applyProtection="1">
      <alignment horizontal="left"/>
      <protection hidden="1"/>
    </xf>
    <xf numFmtId="0" fontId="45" fillId="0" borderId="95" xfId="30" applyNumberFormat="1" applyFont="1" applyFill="1" applyBorder="1" applyAlignment="1" applyProtection="1">
      <alignment horizontal="right" wrapText="1"/>
      <protection hidden="1"/>
    </xf>
    <xf numFmtId="0" fontId="45" fillId="0" borderId="63" xfId="30" applyNumberFormat="1" applyFont="1" applyFill="1" applyBorder="1" applyAlignment="1" applyProtection="1">
      <alignment horizontal="right" wrapText="1"/>
      <protection hidden="1"/>
    </xf>
    <xf numFmtId="165" fontId="45" fillId="210" borderId="243" xfId="30" applyNumberFormat="1" applyFont="1" applyFill="1" applyBorder="1" applyAlignment="1" applyProtection="1">
      <alignment horizontal="left" wrapText="1"/>
      <protection hidden="1"/>
    </xf>
    <xf numFmtId="165" fontId="45" fillId="211" borderId="244" xfId="30" applyNumberFormat="1" applyFont="1" applyFill="1" applyBorder="1" applyAlignment="1" applyProtection="1">
      <alignment horizontal="left" wrapText="1"/>
      <protection hidden="1"/>
    </xf>
    <xf numFmtId="165" fontId="45" fillId="52" borderId="245" xfId="30" applyNumberFormat="1" applyFont="1" applyFill="1" applyBorder="1" applyAlignment="1" applyProtection="1">
      <alignment horizontal="left" wrapText="1"/>
      <protection hidden="1"/>
    </xf>
    <xf numFmtId="165" fontId="45" fillId="53" borderId="246" xfId="30" applyNumberFormat="1" applyFont="1" applyFill="1" applyBorder="1" applyAlignment="1" applyProtection="1">
      <alignment horizontal="left" wrapText="1"/>
      <protection hidden="1"/>
    </xf>
    <xf numFmtId="0" fontId="112" fillId="0" borderId="65" xfId="14" applyNumberFormat="1" applyFont="1" applyFill="1" applyBorder="1" applyAlignment="1" applyProtection="1">
      <protection hidden="1"/>
    </xf>
    <xf numFmtId="0" fontId="108" fillId="0" borderId="137" xfId="14" applyNumberFormat="1" applyFont="1" applyFill="1" applyBorder="1" applyAlignment="1" applyProtection="1">
      <protection hidden="1"/>
    </xf>
    <xf numFmtId="0" fontId="21" fillId="0" borderId="0" xfId="30" applyNumberFormat="1" applyFont="1" applyFill="1" applyBorder="1" applyAlignment="1" applyProtection="1">
      <alignment horizontal="left"/>
      <protection hidden="1"/>
    </xf>
    <xf numFmtId="0" fontId="3" fillId="0" borderId="228" xfId="0" applyNumberFormat="1" applyFont="1" applyFill="1" applyBorder="1" applyAlignment="1" applyProtection="1">
      <alignment horizontal="center"/>
      <protection hidden="1"/>
    </xf>
    <xf numFmtId="0" fontId="3" fillId="36" borderId="35" xfId="0" applyNumberFormat="1" applyFont="1" applyFill="1" applyBorder="1" applyAlignment="1" applyProtection="1">
      <protection hidden="1"/>
    </xf>
    <xf numFmtId="0" fontId="21" fillId="0" borderId="66" xfId="66" applyNumberFormat="1" applyFont="1" applyFill="1" applyBorder="1" applyAlignment="1" applyProtection="1">
      <alignment horizontal="left"/>
      <protection hidden="1"/>
    </xf>
    <xf numFmtId="0" fontId="21" fillId="0" borderId="117" xfId="66" applyNumberFormat="1" applyFont="1" applyFill="1" applyBorder="1" applyAlignment="1" applyProtection="1">
      <alignment horizontal="left"/>
      <protection hidden="1"/>
    </xf>
    <xf numFmtId="0" fontId="20" fillId="0" borderId="0" xfId="0" applyNumberFormat="1" applyFont="1" applyFill="1" applyBorder="1" applyAlignment="1" applyProtection="1">
      <alignment horizontal="left"/>
      <protection locked="0"/>
    </xf>
    <xf numFmtId="0" fontId="94" fillId="232" borderId="140" xfId="30" applyNumberFormat="1" applyFont="1" applyFill="1" applyBorder="1" applyAlignment="1" applyProtection="1">
      <alignment horizontal="center"/>
    </xf>
    <xf numFmtId="0" fontId="94" fillId="232" borderId="236" xfId="30" applyNumberFormat="1" applyFont="1" applyFill="1" applyBorder="1" applyAlignment="1" applyProtection="1">
      <alignment horizontal="center"/>
    </xf>
    <xf numFmtId="0" fontId="19" fillId="49" borderId="152" xfId="30" applyNumberFormat="1" applyFont="1" applyFill="1" applyBorder="1" applyAlignment="1" applyProtection="1">
      <alignment horizontal="left"/>
      <protection hidden="1"/>
    </xf>
    <xf numFmtId="0" fontId="132" fillId="0" borderId="229" xfId="14" applyNumberFormat="1" applyFont="1" applyFill="1" applyBorder="1" applyAlignment="1" applyProtection="1">
      <alignment horizontal="left"/>
      <protection hidden="1"/>
    </xf>
    <xf numFmtId="0" fontId="43" fillId="0" borderId="157" xfId="14" applyNumberFormat="1" applyFont="1" applyFill="1" applyBorder="1" applyAlignment="1" applyProtection="1">
      <alignment horizontal="left"/>
      <protection hidden="1"/>
    </xf>
    <xf numFmtId="0" fontId="43" fillId="0" borderId="72" xfId="14" applyNumberFormat="1" applyFont="1" applyFill="1" applyBorder="1" applyAlignment="1" applyProtection="1">
      <alignment horizontal="left"/>
      <protection hidden="1"/>
    </xf>
    <xf numFmtId="0" fontId="45" fillId="87" borderId="94" xfId="23" applyNumberFormat="1" applyFont="1" applyFill="1" applyBorder="1" applyAlignment="1" applyProtection="1">
      <alignment horizontal="center"/>
      <protection hidden="1"/>
    </xf>
    <xf numFmtId="0" fontId="45" fillId="213" borderId="227" xfId="23" applyNumberFormat="1" applyFont="1" applyFill="1" applyBorder="1" applyAlignment="1" applyProtection="1">
      <alignment horizontal="center"/>
      <protection hidden="1"/>
    </xf>
    <xf numFmtId="0" fontId="45" fillId="88" borderId="95" xfId="30" applyNumberFormat="1" applyFont="1" applyFill="1" applyBorder="1" applyAlignment="1" applyProtection="1">
      <alignment horizontal="center"/>
      <protection hidden="1"/>
    </xf>
    <xf numFmtId="0" fontId="17" fillId="105" borderId="110" xfId="30" applyNumberFormat="1" applyFont="1" applyFill="1" applyBorder="1" applyAlignment="1" applyProtection="1">
      <alignment horizontal="center"/>
    </xf>
    <xf numFmtId="0" fontId="17" fillId="212" borderId="226" xfId="30" applyNumberFormat="1" applyFont="1" applyFill="1" applyBorder="1" applyAlignment="1" applyProtection="1">
      <alignment horizontal="center"/>
    </xf>
    <xf numFmtId="0" fontId="17" fillId="108" borderId="113" xfId="30" applyNumberFormat="1" applyFont="1" applyFill="1" applyBorder="1" applyAlignment="1" applyProtection="1">
      <alignment horizontal="center"/>
    </xf>
    <xf numFmtId="0" fontId="45" fillId="87" borderId="94" xfId="30" applyNumberFormat="1" applyFont="1" applyFill="1" applyBorder="1" applyAlignment="1" applyProtection="1">
      <alignment horizontal="left" vertical="top" wrapText="1"/>
      <protection hidden="1"/>
    </xf>
    <xf numFmtId="0" fontId="45" fillId="36" borderId="35" xfId="30" applyNumberFormat="1" applyFont="1" applyFill="1" applyBorder="1" applyAlignment="1" applyProtection="1">
      <alignment horizontal="left" vertical="top" wrapText="1"/>
      <protection hidden="1"/>
    </xf>
    <xf numFmtId="0" fontId="166" fillId="223" borderId="152" xfId="30" applyFont="1" applyFill="1" applyBorder="1" applyAlignment="1" applyProtection="1">
      <alignment horizontal="center" vertical="top"/>
      <protection hidden="1"/>
    </xf>
    <xf numFmtId="1" fontId="17" fillId="36" borderId="202" xfId="30" applyNumberFormat="1" applyFont="1" applyFill="1" applyBorder="1" applyAlignment="1" applyProtection="1">
      <protection hidden="1"/>
    </xf>
    <xf numFmtId="1" fontId="17" fillId="36" borderId="152" xfId="30" applyNumberFormat="1" applyFont="1" applyFill="1" applyBorder="1" applyAlignment="1" applyProtection="1">
      <protection hidden="1"/>
    </xf>
    <xf numFmtId="0" fontId="8" fillId="36" borderId="35" xfId="28" applyNumberFormat="1" applyFont="1" applyFill="1" applyBorder="1" applyAlignment="1" applyProtection="1">
      <alignment horizontal="left"/>
      <protection hidden="1"/>
    </xf>
    <xf numFmtId="0" fontId="105" fillId="36" borderId="35" xfId="14" applyNumberFormat="1" applyFont="1" applyFill="1" applyBorder="1" applyAlignment="1" applyProtection="1">
      <alignment horizontal="right"/>
      <protection hidden="1"/>
    </xf>
    <xf numFmtId="0" fontId="105" fillId="36" borderId="35" xfId="17" applyNumberFormat="1" applyFont="1" applyFill="1" applyBorder="1" applyAlignment="1" applyProtection="1">
      <alignment horizontal="right"/>
      <protection hidden="1"/>
    </xf>
    <xf numFmtId="0" fontId="16" fillId="36" borderId="35" xfId="17" applyNumberFormat="1" applyFont="1" applyFill="1" applyBorder="1" applyAlignment="1" applyProtection="1">
      <alignment horizontal="right"/>
      <protection hidden="1"/>
    </xf>
    <xf numFmtId="0" fontId="75" fillId="209" borderId="223" xfId="30" applyNumberFormat="1" applyFont="1" applyFill="1" applyBorder="1" applyAlignment="1" applyProtection="1">
      <alignment horizontal="left"/>
      <protection hidden="1"/>
    </xf>
    <xf numFmtId="0" fontId="76" fillId="40" borderId="35" xfId="30" applyNumberFormat="1" applyFont="1" applyFill="1" applyBorder="1" applyAlignment="1" applyProtection="1">
      <alignment horizontal="center"/>
      <protection hidden="1"/>
    </xf>
    <xf numFmtId="0" fontId="45" fillId="210" borderId="224" xfId="23" applyNumberFormat="1" applyFont="1" applyFill="1" applyBorder="1" applyAlignment="1" applyProtection="1">
      <alignment horizontal="center" vertical="center" wrapText="1"/>
      <protection hidden="1"/>
    </xf>
    <xf numFmtId="0" fontId="45" fillId="211" borderId="225" xfId="23" applyNumberFormat="1" applyFont="1" applyFill="1" applyBorder="1" applyAlignment="1" applyProtection="1">
      <alignment horizontal="center" vertical="center" wrapText="1"/>
      <protection hidden="1"/>
    </xf>
    <xf numFmtId="0" fontId="45" fillId="88" borderId="95" xfId="24" applyNumberFormat="1" applyFont="1" applyFill="1" applyBorder="1" applyAlignment="1" applyProtection="1">
      <alignment horizontal="center" vertical="center" wrapText="1"/>
      <protection hidden="1"/>
    </xf>
    <xf numFmtId="0" fontId="45" fillId="59" borderId="63" xfId="24" applyNumberFormat="1" applyFont="1" applyFill="1" applyBorder="1" applyAlignment="1" applyProtection="1">
      <alignment horizontal="center" vertical="center" wrapText="1"/>
      <protection hidden="1"/>
    </xf>
    <xf numFmtId="0" fontId="45" fillId="52" borderId="56" xfId="23" applyNumberFormat="1" applyFont="1" applyFill="1" applyBorder="1" applyAlignment="1" applyProtection="1">
      <alignment horizontal="center" vertical="center" wrapText="1"/>
      <protection hidden="1"/>
    </xf>
    <xf numFmtId="0" fontId="45" fillId="53" borderId="57" xfId="23" applyNumberFormat="1" applyFont="1" applyFill="1" applyBorder="1" applyAlignment="1" applyProtection="1">
      <alignment horizontal="center" vertical="center" wrapText="1"/>
      <protection hidden="1"/>
    </xf>
    <xf numFmtId="0" fontId="58" fillId="98" borderId="103" xfId="28" applyNumberFormat="1" applyFont="1" applyFill="1" applyBorder="1" applyAlignment="1" applyProtection="1">
      <alignment horizontal="left"/>
      <protection locked="0"/>
    </xf>
    <xf numFmtId="0" fontId="130" fillId="0" borderId="136" xfId="14" applyNumberFormat="1" applyFont="1" applyFill="1" applyBorder="1" applyAlignment="1" applyProtection="1">
      <alignment horizontal="left"/>
      <protection hidden="1"/>
    </xf>
    <xf numFmtId="0" fontId="130" fillId="0" borderId="137" xfId="14" applyNumberFormat="1" applyFont="1" applyFill="1" applyBorder="1" applyAlignment="1" applyProtection="1">
      <alignment horizontal="left"/>
      <protection hidden="1"/>
    </xf>
    <xf numFmtId="0" fontId="45" fillId="210" borderId="224" xfId="30" applyNumberFormat="1" applyFont="1" applyFill="1" applyBorder="1" applyAlignment="1" applyProtection="1">
      <alignment horizontal="center"/>
      <protection hidden="1"/>
    </xf>
    <xf numFmtId="0" fontId="45" fillId="211" borderId="225" xfId="30" applyNumberFormat="1" applyFont="1" applyFill="1" applyBorder="1" applyAlignment="1" applyProtection="1">
      <alignment horizontal="center"/>
      <protection hidden="1"/>
    </xf>
    <xf numFmtId="0" fontId="45" fillId="210" borderId="224" xfId="23" applyNumberFormat="1" applyFont="1" applyFill="1" applyBorder="1" applyAlignment="1" applyProtection="1">
      <alignment horizontal="center"/>
      <protection hidden="1"/>
    </xf>
    <xf numFmtId="0" fontId="45" fillId="211" borderId="225" xfId="23" applyNumberFormat="1" applyFont="1" applyFill="1" applyBorder="1" applyAlignment="1" applyProtection="1">
      <alignment horizontal="center"/>
      <protection hidden="1"/>
    </xf>
    <xf numFmtId="0" fontId="43" fillId="223" borderId="152" xfId="270" applyFont="1" applyFill="1" applyAlignment="1" applyProtection="1">
      <alignment horizontal="right"/>
      <protection hidden="1"/>
    </xf>
    <xf numFmtId="0" fontId="21" fillId="223" borderId="152" xfId="269" applyFont="1" applyFill="1" applyAlignment="1" applyProtection="1">
      <alignment horizontal="left"/>
      <protection hidden="1"/>
    </xf>
    <xf numFmtId="0" fontId="222" fillId="223" borderId="152" xfId="267" applyFont="1" applyFill="1" applyAlignment="1" applyProtection="1">
      <alignment horizontal="left"/>
      <protection hidden="1"/>
    </xf>
    <xf numFmtId="0" fontId="62" fillId="233" borderId="152" xfId="276" applyFont="1" applyFill="1" applyAlignment="1" applyProtection="1">
      <alignment horizontal="left"/>
      <protection hidden="1"/>
    </xf>
    <xf numFmtId="0" fontId="222" fillId="233" borderId="152" xfId="276" applyFont="1" applyFill="1" applyAlignment="1" applyProtection="1">
      <alignment horizontal="right"/>
      <protection hidden="1"/>
    </xf>
    <xf numFmtId="0" fontId="191" fillId="225" borderId="152" xfId="264" applyFont="1" applyFill="1" applyAlignment="1" applyProtection="1">
      <alignment horizontal="right"/>
      <protection hidden="1"/>
    </xf>
    <xf numFmtId="0" fontId="175" fillId="225" borderId="152" xfId="265" applyFont="1" applyFill="1" applyAlignment="1" applyProtection="1">
      <alignment horizontal="left"/>
      <protection hidden="1"/>
    </xf>
    <xf numFmtId="0" fontId="192" fillId="225" borderId="152" xfId="264" applyFont="1" applyFill="1" applyAlignment="1" applyProtection="1">
      <alignment horizontal="left"/>
      <protection hidden="1"/>
    </xf>
    <xf numFmtId="0" fontId="187" fillId="225" borderId="152" xfId="264" applyNumberFormat="1" applyFont="1" applyFill="1" applyBorder="1" applyAlignment="1" applyProtection="1">
      <alignment horizontal="center" vertical="top" wrapText="1"/>
      <protection hidden="1"/>
    </xf>
    <xf numFmtId="0" fontId="191" fillId="225" borderId="152" xfId="264" applyNumberFormat="1" applyFont="1" applyFill="1" applyAlignment="1" applyProtection="1">
      <alignment horizontal="right"/>
      <protection hidden="1"/>
    </xf>
    <xf numFmtId="0" fontId="191" fillId="225" borderId="152" xfId="264" applyNumberFormat="1" applyFont="1" applyFill="1" applyAlignment="1" applyProtection="1">
      <alignment horizontal="left"/>
      <protection hidden="1"/>
    </xf>
    <xf numFmtId="0" fontId="171" fillId="225" borderId="152" xfId="263" applyFont="1" applyFill="1" applyAlignment="1" applyProtection="1">
      <alignment horizontal="left" wrapText="1"/>
      <protection hidden="1"/>
    </xf>
    <xf numFmtId="0" fontId="171" fillId="225" borderId="152" xfId="263" applyFont="1" applyFill="1" applyAlignment="1" applyProtection="1">
      <alignment horizontal="left"/>
      <protection hidden="1"/>
    </xf>
    <xf numFmtId="0" fontId="181" fillId="225" borderId="213" xfId="264" applyFont="1" applyFill="1" applyBorder="1" applyProtection="1">
      <protection hidden="1"/>
    </xf>
    <xf numFmtId="0" fontId="181" fillId="225" borderId="222" xfId="264" applyFont="1" applyFill="1" applyBorder="1" applyProtection="1">
      <protection hidden="1"/>
    </xf>
    <xf numFmtId="0" fontId="171" fillId="229" borderId="150" xfId="263" applyFont="1" applyFill="1" applyBorder="1" applyAlignment="1" applyProtection="1">
      <alignment horizontal="center" vertical="top"/>
      <protection hidden="1"/>
    </xf>
    <xf numFmtId="0" fontId="169" fillId="214" borderId="226" xfId="263" applyFont="1" applyBorder="1" applyProtection="1">
      <protection hidden="1"/>
    </xf>
    <xf numFmtId="0" fontId="171" fillId="214" borderId="150" xfId="263" applyFont="1" applyBorder="1" applyAlignment="1" applyProtection="1">
      <alignment horizontal="left" vertical="top"/>
      <protection hidden="1"/>
    </xf>
    <xf numFmtId="0" fontId="171" fillId="214" borderId="192" xfId="263" applyFont="1" applyBorder="1" applyAlignment="1" applyProtection="1">
      <alignment horizontal="left" vertical="top"/>
      <protection hidden="1"/>
    </xf>
    <xf numFmtId="0" fontId="171" fillId="225" borderId="213" xfId="263" applyFont="1" applyFill="1" applyBorder="1" applyAlignment="1" applyProtection="1">
      <alignment vertical="top"/>
      <protection hidden="1"/>
    </xf>
    <xf numFmtId="0" fontId="171" fillId="225" borderId="208" xfId="263" applyFont="1" applyFill="1" applyBorder="1" applyAlignment="1" applyProtection="1">
      <alignment vertical="top"/>
      <protection hidden="1"/>
    </xf>
    <xf numFmtId="0" fontId="171" fillId="225" borderId="222" xfId="263" applyFont="1" applyFill="1" applyBorder="1" applyAlignment="1" applyProtection="1">
      <alignment vertical="top"/>
      <protection hidden="1"/>
    </xf>
    <xf numFmtId="0" fontId="171" fillId="225" borderId="202" xfId="263" applyFont="1" applyFill="1" applyBorder="1" applyAlignment="1" applyProtection="1">
      <alignment vertical="top"/>
      <protection hidden="1"/>
    </xf>
    <xf numFmtId="0" fontId="171" fillId="225" borderId="152" xfId="263" applyFont="1" applyFill="1" applyBorder="1" applyAlignment="1" applyProtection="1">
      <alignment vertical="top"/>
      <protection hidden="1"/>
    </xf>
    <xf numFmtId="0" fontId="171" fillId="225" borderId="210" xfId="263" applyFont="1" applyFill="1" applyBorder="1" applyAlignment="1" applyProtection="1">
      <alignment vertical="top"/>
      <protection hidden="1"/>
    </xf>
    <xf numFmtId="0" fontId="182" fillId="227" borderId="192" xfId="264" applyFont="1" applyFill="1" applyBorder="1" applyAlignment="1" applyProtection="1">
      <alignment vertical="center" wrapText="1"/>
      <protection locked="0"/>
    </xf>
    <xf numFmtId="0" fontId="171" fillId="229" borderId="210" xfId="264" applyNumberFormat="1" applyFont="1" applyFill="1" applyBorder="1" applyAlignment="1" applyProtection="1">
      <alignment horizontal="center"/>
      <protection hidden="1"/>
    </xf>
    <xf numFmtId="0" fontId="171" fillId="229" borderId="212" xfId="264" applyNumberFormat="1" applyFont="1" applyFill="1" applyBorder="1" applyAlignment="1" applyProtection="1">
      <alignment horizontal="center"/>
      <protection hidden="1"/>
    </xf>
    <xf numFmtId="0" fontId="169" fillId="225" borderId="202" xfId="263" applyNumberFormat="1" applyFont="1" applyFill="1" applyBorder="1" applyProtection="1">
      <protection locked="0"/>
    </xf>
    <xf numFmtId="0" fontId="3" fillId="0" borderId="152" xfId="0" applyNumberFormat="1" applyFont="1" applyFill="1" applyBorder="1" applyAlignment="1" applyProtection="1">
      <protection locked="0"/>
    </xf>
    <xf numFmtId="0" fontId="3" fillId="0" borderId="210" xfId="0" applyNumberFormat="1" applyFont="1" applyFill="1" applyBorder="1" applyAlignment="1" applyProtection="1">
      <protection locked="0"/>
    </xf>
    <xf numFmtId="0" fontId="3" fillId="0" borderId="202" xfId="0" applyNumberFormat="1" applyFont="1" applyFill="1" applyBorder="1" applyAlignment="1" applyProtection="1">
      <protection locked="0"/>
    </xf>
    <xf numFmtId="0" fontId="169" fillId="225" borderId="202" xfId="263" applyNumberFormat="1" applyFont="1" applyFill="1" applyBorder="1" applyProtection="1">
      <protection hidden="1"/>
    </xf>
    <xf numFmtId="0" fontId="169" fillId="214" borderId="152" xfId="263" applyFont="1" applyProtection="1">
      <protection hidden="1"/>
    </xf>
    <xf numFmtId="0" fontId="169" fillId="214" borderId="210" xfId="263" applyFont="1" applyBorder="1" applyProtection="1">
      <protection hidden="1"/>
    </xf>
    <xf numFmtId="0" fontId="169" fillId="214" borderId="202" xfId="263" applyFont="1" applyBorder="1" applyProtection="1">
      <protection hidden="1"/>
    </xf>
    <xf numFmtId="0" fontId="169" fillId="214" borderId="237" xfId="263" applyFont="1" applyBorder="1" applyProtection="1">
      <protection hidden="1"/>
    </xf>
    <xf numFmtId="0" fontId="169" fillId="214" borderId="238" xfId="263" applyFont="1" applyBorder="1" applyProtection="1">
      <protection hidden="1"/>
    </xf>
    <xf numFmtId="0" fontId="169" fillId="214" borderId="212" xfId="263" applyFont="1" applyBorder="1" applyProtection="1">
      <protection hidden="1"/>
    </xf>
    <xf numFmtId="0" fontId="186" fillId="229" borderId="140" xfId="263" applyFont="1" applyFill="1" applyBorder="1" applyAlignment="1" applyProtection="1">
      <alignment horizontal="center"/>
    </xf>
    <xf numFmtId="0" fontId="186" fillId="229" borderId="236" xfId="263" applyFont="1" applyFill="1" applyBorder="1" applyAlignment="1" applyProtection="1">
      <alignment horizontal="center"/>
    </xf>
    <xf numFmtId="0" fontId="186" fillId="229" borderId="221" xfId="263" applyFont="1" applyFill="1" applyBorder="1" applyAlignment="1" applyProtection="1">
      <alignment horizontal="center"/>
    </xf>
    <xf numFmtId="0" fontId="171" fillId="225" borderId="140" xfId="263" applyNumberFormat="1" applyFont="1" applyFill="1" applyBorder="1" applyAlignment="1" applyProtection="1">
      <alignment horizontal="left" wrapText="1"/>
      <protection hidden="1"/>
    </xf>
    <xf numFmtId="0" fontId="171" fillId="225" borderId="236" xfId="263" applyNumberFormat="1" applyFont="1" applyFill="1" applyBorder="1" applyAlignment="1" applyProtection="1">
      <alignment horizontal="left" wrapText="1"/>
      <protection hidden="1"/>
    </xf>
    <xf numFmtId="0" fontId="171" fillId="225" borderId="221" xfId="263" applyNumberFormat="1" applyFont="1" applyFill="1" applyBorder="1" applyAlignment="1" applyProtection="1">
      <alignment horizontal="left" wrapText="1"/>
      <protection hidden="1"/>
    </xf>
    <xf numFmtId="0" fontId="178" fillId="225" borderId="152" xfId="263" applyFont="1" applyFill="1" applyAlignment="1" applyProtection="1">
      <alignment horizontal="left"/>
      <protection hidden="1"/>
    </xf>
    <xf numFmtId="0" fontId="170" fillId="226" borderId="152" xfId="263" applyFont="1" applyFill="1" applyProtection="1">
      <protection hidden="1"/>
    </xf>
    <xf numFmtId="0" fontId="173" fillId="226" borderId="152" xfId="264" applyFont="1" applyFill="1" applyAlignment="1" applyProtection="1">
      <alignment horizontal="right"/>
      <protection hidden="1"/>
    </xf>
    <xf numFmtId="0" fontId="175" fillId="214" borderId="152" xfId="265" applyFont="1" applyAlignment="1" applyProtection="1">
      <alignment horizontal="right"/>
      <protection hidden="1"/>
    </xf>
    <xf numFmtId="0" fontId="175" fillId="226" borderId="152" xfId="265" applyFont="1" applyFill="1" applyAlignment="1" applyProtection="1">
      <alignment horizontal="right" wrapText="1"/>
      <protection hidden="1"/>
    </xf>
    <xf numFmtId="0" fontId="166" fillId="226" borderId="152" xfId="264" applyFont="1" applyFill="1" applyAlignment="1" applyProtection="1">
      <alignment horizontal="center"/>
      <protection hidden="1"/>
    </xf>
    <xf numFmtId="0" fontId="24" fillId="226" borderId="152" xfId="263" applyFont="1" applyFill="1" applyAlignment="1" applyProtection="1">
      <alignment horizontal="center" wrapText="1"/>
      <protection hidden="1"/>
    </xf>
    <xf numFmtId="0" fontId="171" fillId="225" borderId="202" xfId="266" applyFont="1" applyFill="1" applyBorder="1" applyAlignment="1" applyProtection="1">
      <alignment horizontal="left"/>
      <protection hidden="1"/>
    </xf>
    <xf numFmtId="0" fontId="171" fillId="225" borderId="152" xfId="266" applyFont="1" applyFill="1" applyBorder="1" applyAlignment="1" applyProtection="1">
      <alignment horizontal="left"/>
      <protection hidden="1"/>
    </xf>
    <xf numFmtId="0" fontId="171" fillId="225" borderId="152" xfId="263" applyFont="1" applyFill="1" applyAlignment="1" applyProtection="1">
      <alignment horizontal="right"/>
      <protection hidden="1"/>
    </xf>
    <xf numFmtId="0" fontId="171" fillId="225" borderId="210" xfId="263" applyFont="1" applyFill="1" applyBorder="1" applyAlignment="1" applyProtection="1">
      <alignment horizontal="left"/>
      <protection hidden="1"/>
    </xf>
    <xf numFmtId="0" fontId="17" fillId="36" borderId="152" xfId="30" applyNumberFormat="1" applyFont="1" applyFill="1" applyBorder="1" applyAlignment="1" applyProtection="1">
      <alignment horizontal="left" wrapText="1"/>
      <protection hidden="1"/>
    </xf>
    <xf numFmtId="0" fontId="224" fillId="225" borderId="152" xfId="30" applyFont="1" applyFill="1" applyBorder="1" applyAlignment="1" applyProtection="1">
      <alignment horizontal="center"/>
      <protection hidden="1"/>
    </xf>
    <xf numFmtId="0" fontId="12" fillId="36" borderId="35" xfId="30" applyNumberFormat="1" applyFont="1" applyFill="1" applyBorder="1" applyAlignment="1" applyProtection="1">
      <alignment horizontal="left"/>
      <protection hidden="1"/>
    </xf>
    <xf numFmtId="0" fontId="25" fillId="36" borderId="35" xfId="0" applyNumberFormat="1" applyFont="1" applyFill="1" applyBorder="1" applyAlignment="1" applyProtection="1">
      <alignment horizontal="right"/>
      <protection hidden="1"/>
    </xf>
    <xf numFmtId="0" fontId="55" fillId="19" borderId="18" xfId="30" applyNumberFormat="1" applyFont="1" applyFill="1" applyBorder="1" applyAlignment="1" applyProtection="1">
      <alignment horizontal="left"/>
      <protection locked="0"/>
    </xf>
    <xf numFmtId="164" fontId="17" fillId="223" borderId="35" xfId="13" applyNumberFormat="1" applyFont="1" applyFill="1" applyBorder="1" applyAlignment="1" applyProtection="1">
      <protection hidden="1"/>
    </xf>
    <xf numFmtId="164" fontId="17" fillId="223" borderId="35" xfId="13" applyNumberFormat="1" applyFont="1" applyFill="1" applyBorder="1" applyAlignment="1" applyProtection="1">
      <alignment horizontal="left"/>
      <protection hidden="1"/>
    </xf>
    <xf numFmtId="164" fontId="17" fillId="36" borderId="35" xfId="13" applyNumberFormat="1" applyFont="1" applyFill="1" applyBorder="1" applyAlignment="1" applyProtection="1">
      <alignment horizontal="left" vertical="center"/>
      <protection hidden="1"/>
    </xf>
    <xf numFmtId="0" fontId="17" fillId="223" borderId="35" xfId="30" applyNumberFormat="1" applyFont="1" applyFill="1" applyBorder="1" applyAlignment="1" applyProtection="1">
      <alignment horizontal="left" vertical="center"/>
      <protection hidden="1"/>
    </xf>
    <xf numFmtId="0" fontId="17" fillId="223" borderId="35" xfId="30" applyNumberFormat="1" applyFont="1" applyFill="1" applyBorder="1" applyAlignment="1" applyProtection="1">
      <alignment horizontal="left"/>
      <protection hidden="1"/>
    </xf>
    <xf numFmtId="0" fontId="17" fillId="223" borderId="35" xfId="30" applyNumberFormat="1" applyFont="1" applyFill="1" applyBorder="1" applyAlignment="1" applyProtection="1">
      <protection hidden="1"/>
    </xf>
    <xf numFmtId="0" fontId="85" fillId="223" borderId="35" xfId="30" applyNumberFormat="1" applyFont="1" applyFill="1" applyBorder="1" applyAlignment="1" applyProtection="1">
      <alignment horizontal="left"/>
      <protection hidden="1"/>
    </xf>
    <xf numFmtId="0" fontId="17" fillId="36" borderId="35" xfId="0" applyNumberFormat="1" applyFont="1" applyFill="1" applyBorder="1" applyAlignment="1" applyProtection="1">
      <alignment horizontal="left" vertical="center"/>
      <protection hidden="1"/>
    </xf>
    <xf numFmtId="0" fontId="21" fillId="36" borderId="35" xfId="30" applyNumberFormat="1" applyFont="1" applyFill="1" applyBorder="1" applyAlignment="1" applyProtection="1">
      <alignment vertical="center"/>
      <protection hidden="1"/>
    </xf>
    <xf numFmtId="0" fontId="27" fillId="36" borderId="35" xfId="30" applyNumberFormat="1" applyFont="1" applyFill="1" applyBorder="1" applyAlignment="1" applyProtection="1">
      <protection hidden="1"/>
    </xf>
    <xf numFmtId="0" fontId="25" fillId="44" borderId="202" xfId="30" applyNumberFormat="1" applyFont="1" applyFill="1" applyBorder="1" applyAlignment="1" applyProtection="1">
      <alignment horizontal="center"/>
      <protection hidden="1"/>
    </xf>
    <xf numFmtId="0" fontId="25" fillId="44" borderId="152" xfId="30" applyNumberFormat="1" applyFont="1" applyFill="1" applyBorder="1" applyAlignment="1" applyProtection="1">
      <alignment horizontal="center"/>
      <protection hidden="1"/>
    </xf>
    <xf numFmtId="0" fontId="13" fillId="36" borderId="35" xfId="30" applyNumberFormat="1" applyFont="1" applyFill="1" applyBorder="1" applyAlignment="1" applyProtection="1">
      <alignment horizontal="left"/>
      <protection hidden="1"/>
    </xf>
    <xf numFmtId="0" fontId="17" fillId="0" borderId="0" xfId="30" applyNumberFormat="1" applyFont="1" applyFill="1" applyBorder="1" applyAlignment="1" applyProtection="1">
      <alignment horizontal="left"/>
      <protection hidden="1"/>
    </xf>
    <xf numFmtId="0" fontId="78" fillId="36" borderId="35" xfId="30" applyNumberFormat="1" applyFont="1" applyFill="1" applyBorder="1" applyAlignment="1" applyProtection="1">
      <alignment horizontal="center" vertical="center" wrapText="1"/>
      <protection hidden="1"/>
    </xf>
    <xf numFmtId="0" fontId="23" fillId="36" borderId="35" xfId="30" applyNumberFormat="1" applyFont="1" applyFill="1" applyBorder="1" applyAlignment="1" applyProtection="1">
      <alignment horizontal="left"/>
      <protection hidden="1"/>
    </xf>
    <xf numFmtId="1" fontId="23" fillId="36" borderId="35" xfId="30" applyNumberFormat="1" applyFont="1" applyFill="1" applyBorder="1" applyAlignment="1" applyProtection="1">
      <alignment horizontal="left"/>
      <protection hidden="1"/>
    </xf>
    <xf numFmtId="0" fontId="43" fillId="214" borderId="213" xfId="14" applyFont="1" applyFill="1" applyBorder="1" applyAlignment="1" applyProtection="1">
      <alignment horizontal="center" vertical="center" wrapText="1"/>
      <protection hidden="1"/>
    </xf>
    <xf numFmtId="0" fontId="43" fillId="214" borderId="222" xfId="14" applyFont="1" applyFill="1" applyBorder="1" applyAlignment="1" applyProtection="1">
      <alignment horizontal="center" vertical="center" wrapText="1"/>
      <protection hidden="1"/>
    </xf>
    <xf numFmtId="0" fontId="43" fillId="214" borderId="237" xfId="14" applyFont="1" applyFill="1" applyBorder="1" applyAlignment="1" applyProtection="1">
      <alignment horizontal="center" vertical="center" wrapText="1"/>
      <protection hidden="1"/>
    </xf>
    <xf numFmtId="0" fontId="43" fillId="214" borderId="212" xfId="14" applyFont="1" applyFill="1" applyBorder="1" applyAlignment="1" applyProtection="1">
      <alignment horizontal="center" vertical="center" wrapText="1"/>
      <protection hidden="1"/>
    </xf>
    <xf numFmtId="0" fontId="17" fillId="223" borderId="140" xfId="30" applyNumberFormat="1" applyFont="1" applyFill="1" applyBorder="1" applyAlignment="1" applyProtection="1">
      <alignment horizontal="center"/>
      <protection hidden="1"/>
    </xf>
    <xf numFmtId="0" fontId="17" fillId="223" borderId="236" xfId="30" applyNumberFormat="1" applyFont="1" applyFill="1" applyBorder="1" applyAlignment="1" applyProtection="1">
      <alignment horizontal="center"/>
      <protection hidden="1"/>
    </xf>
    <xf numFmtId="0" fontId="17" fillId="223" borderId="221" xfId="30" applyNumberFormat="1" applyFont="1" applyFill="1" applyBorder="1" applyAlignment="1" applyProtection="1">
      <alignment horizontal="center"/>
      <protection hidden="1"/>
    </xf>
    <xf numFmtId="0" fontId="3" fillId="36" borderId="213" xfId="30" applyNumberFormat="1" applyFont="1" applyFill="1" applyBorder="1" applyAlignment="1" applyProtection="1">
      <alignment horizontal="left" vertical="top"/>
      <protection hidden="1"/>
    </xf>
    <xf numFmtId="0" fontId="3" fillId="36" borderId="208" xfId="30" applyNumberFormat="1" applyFont="1" applyFill="1" applyBorder="1" applyAlignment="1" applyProtection="1">
      <alignment horizontal="left" vertical="top"/>
      <protection hidden="1"/>
    </xf>
    <xf numFmtId="0" fontId="3" fillId="36" borderId="222" xfId="30" applyNumberFormat="1" applyFont="1" applyFill="1" applyBorder="1" applyAlignment="1" applyProtection="1">
      <alignment horizontal="left" vertical="top"/>
      <protection hidden="1"/>
    </xf>
    <xf numFmtId="0" fontId="3" fillId="36" borderId="202" xfId="30" applyNumberFormat="1" applyFont="1" applyFill="1" applyBorder="1" applyAlignment="1" applyProtection="1">
      <alignment horizontal="left" vertical="top"/>
      <protection hidden="1"/>
    </xf>
    <xf numFmtId="0" fontId="3" fillId="36" borderId="152" xfId="30" applyNumberFormat="1" applyFont="1" applyFill="1" applyBorder="1" applyAlignment="1" applyProtection="1">
      <alignment horizontal="left" vertical="top"/>
      <protection hidden="1"/>
    </xf>
    <xf numFmtId="0" fontId="3" fillId="36" borderId="210" xfId="30" applyNumberFormat="1" applyFont="1" applyFill="1" applyBorder="1" applyAlignment="1" applyProtection="1">
      <alignment horizontal="left" vertical="top"/>
      <protection hidden="1"/>
    </xf>
    <xf numFmtId="0" fontId="3" fillId="36" borderId="237" xfId="30" applyNumberFormat="1" applyFont="1" applyFill="1" applyBorder="1" applyAlignment="1" applyProtection="1">
      <alignment horizontal="left" vertical="top"/>
      <protection hidden="1"/>
    </xf>
    <xf numFmtId="0" fontId="3" fillId="36" borderId="238" xfId="30" applyNumberFormat="1" applyFont="1" applyFill="1" applyBorder="1" applyAlignment="1" applyProtection="1">
      <alignment horizontal="left" vertical="top"/>
      <protection hidden="1"/>
    </xf>
    <xf numFmtId="0" fontId="3" fillId="36" borderId="212" xfId="30" applyNumberFormat="1" applyFont="1" applyFill="1" applyBorder="1" applyAlignment="1" applyProtection="1">
      <alignment horizontal="left" vertical="top"/>
      <protection hidden="1"/>
    </xf>
    <xf numFmtId="0" fontId="47" fillId="36" borderId="35" xfId="30" applyNumberFormat="1" applyFont="1" applyFill="1" applyBorder="1" applyAlignment="1" applyProtection="1">
      <alignment horizontal="center"/>
    </xf>
  </cellXfs>
  <cellStyles count="279">
    <cellStyle name="20% - Accent1 2" xfId="1"/>
    <cellStyle name="20% - Accent1 2 2" xfId="40"/>
    <cellStyle name="20% - Accent1 2 2 2" xfId="84"/>
    <cellStyle name="20% - Accent1 2 2 3" xfId="213"/>
    <cellStyle name="20% - Accent1 2 3" xfId="122"/>
    <cellStyle name="20% - Accent1 2 4" xfId="154"/>
    <cellStyle name="20% - Accent1 2 5" xfId="172"/>
    <cellStyle name="20% - Accent1 2 6" xfId="184"/>
    <cellStyle name="20% - Accent1 2 7" xfId="74"/>
    <cellStyle name="20% - Accent2 2" xfId="2"/>
    <cellStyle name="20% - Accent2 2 2" xfId="42"/>
    <cellStyle name="20% - Accent2 2 2 2" xfId="86"/>
    <cellStyle name="20% - Accent2 2 2 3" xfId="215"/>
    <cellStyle name="20% - Accent2 2 3" xfId="120"/>
    <cellStyle name="20% - Accent2 2 4" xfId="153"/>
    <cellStyle name="20% - Accent2 2 5" xfId="171"/>
    <cellStyle name="20% - Accent2 2 6" xfId="183"/>
    <cellStyle name="20% - Accent2 2 7" xfId="68"/>
    <cellStyle name="20% - Accent3 2" xfId="3"/>
    <cellStyle name="20% - Accent3 2 2" xfId="43"/>
    <cellStyle name="20% - Accent3 2 2 2" xfId="88"/>
    <cellStyle name="20% - Accent3 2 2 3" xfId="216"/>
    <cellStyle name="20% - Accent3 2 3" xfId="117"/>
    <cellStyle name="20% - Accent3 2 4" xfId="151"/>
    <cellStyle name="20% - Accent3 2 5" xfId="170"/>
    <cellStyle name="20% - Accent3 2 6" xfId="182"/>
    <cellStyle name="20% - Accent3 2 7" xfId="76"/>
    <cellStyle name="20% - Accent4 2" xfId="4"/>
    <cellStyle name="20% - Accent4 2 2" xfId="44"/>
    <cellStyle name="20% - Accent4 2 2 2" xfId="89"/>
    <cellStyle name="20% - Accent4 2 2 3" xfId="217"/>
    <cellStyle name="20% - Accent4 2 3" xfId="114"/>
    <cellStyle name="20% - Accent4 2 4" xfId="149"/>
    <cellStyle name="20% - Accent4 2 5" xfId="168"/>
    <cellStyle name="20% - Accent4 2 6" xfId="181"/>
    <cellStyle name="20% - Accent4 2 7" xfId="67"/>
    <cellStyle name="20% - Accent5 2" xfId="5"/>
    <cellStyle name="20% - Accent5 2 2" xfId="45"/>
    <cellStyle name="20% - Accent5 2 2 2" xfId="90"/>
    <cellStyle name="20% - Accent5 2 2 3" xfId="218"/>
    <cellStyle name="20% - Accent5 2 3" xfId="113"/>
    <cellStyle name="20% - Accent5 2 4" xfId="148"/>
    <cellStyle name="20% - Accent5 2 5" xfId="166"/>
    <cellStyle name="20% - Accent5 2 6" xfId="180"/>
    <cellStyle name="20% - Accent5 2 7" xfId="65"/>
    <cellStyle name="20% - Accent6 2" xfId="6"/>
    <cellStyle name="20% - Accent6 2 2" xfId="46"/>
    <cellStyle name="20% - Accent6 2 2 2" xfId="91"/>
    <cellStyle name="20% - Accent6 2 2 3" xfId="219"/>
    <cellStyle name="20% - Accent6 2 3" xfId="109"/>
    <cellStyle name="20% - Accent6 2 4" xfId="147"/>
    <cellStyle name="20% - Accent6 2 5" xfId="165"/>
    <cellStyle name="20% - Accent6 2 6" xfId="160"/>
    <cellStyle name="20% - Accent6 2 7" xfId="64"/>
    <cellStyle name="40% - Accent1 2" xfId="7"/>
    <cellStyle name="40% - Accent1 2 2" xfId="47"/>
    <cellStyle name="40% - Accent1 2 2 2" xfId="92"/>
    <cellStyle name="40% - Accent1 2 2 3" xfId="220"/>
    <cellStyle name="40% - Accent1 2 3" xfId="108"/>
    <cellStyle name="40% - Accent1 2 4" xfId="145"/>
    <cellStyle name="40% - Accent1 2 5" xfId="164"/>
    <cellStyle name="40% - Accent1 2 6" xfId="150"/>
    <cellStyle name="40% - Accent1 2 7" xfId="62"/>
    <cellStyle name="40% - Accent2 2" xfId="8"/>
    <cellStyle name="40% - Accent2 2 2" xfId="49"/>
    <cellStyle name="40% - Accent2 2 2 2" xfId="93"/>
    <cellStyle name="40% - Accent2 2 2 3" xfId="221"/>
    <cellStyle name="40% - Accent2 2 3" xfId="106"/>
    <cellStyle name="40% - Accent2 2 4" xfId="144"/>
    <cellStyle name="40% - Accent2 2 5" xfId="163"/>
    <cellStyle name="40% - Accent2 2 6" xfId="146"/>
    <cellStyle name="40% - Accent2 2 7" xfId="61"/>
    <cellStyle name="40% - Accent3 2" xfId="9"/>
    <cellStyle name="40% - Accent3 2 2" xfId="50"/>
    <cellStyle name="40% - Accent3 2 2 2" xfId="94"/>
    <cellStyle name="40% - Accent3 2 2 3" xfId="222"/>
    <cellStyle name="40% - Accent3 2 3" xfId="104"/>
    <cellStyle name="40% - Accent3 2 4" xfId="142"/>
    <cellStyle name="40% - Accent3 2 5" xfId="128"/>
    <cellStyle name="40% - Accent3 2 6" xfId="143"/>
    <cellStyle name="40% - Accent3 2 7" xfId="58"/>
    <cellStyle name="40% - Accent4 2" xfId="10"/>
    <cellStyle name="40% - Accent4 2 2" xfId="51"/>
    <cellStyle name="40% - Accent4 2 2 2" xfId="96"/>
    <cellStyle name="40% - Accent4 2 2 3" xfId="224"/>
    <cellStyle name="40% - Accent4 2 3" xfId="103"/>
    <cellStyle name="40% - Accent4 2 4" xfId="140"/>
    <cellStyle name="40% - Accent4 2 5" xfId="118"/>
    <cellStyle name="40% - Accent4 2 6" xfId="134"/>
    <cellStyle name="40% - Accent4 2 7" xfId="57"/>
    <cellStyle name="40% - Accent5 2" xfId="11"/>
    <cellStyle name="40% - Accent5 2 2" xfId="52"/>
    <cellStyle name="40% - Accent5 2 2 2" xfId="97"/>
    <cellStyle name="40% - Accent5 2 2 3" xfId="225"/>
    <cellStyle name="40% - Accent5 2 3" xfId="102"/>
    <cellStyle name="40% - Accent5 2 4" xfId="137"/>
    <cellStyle name="40% - Accent5 2 5" xfId="112"/>
    <cellStyle name="40% - Accent5 2 6" xfId="131"/>
    <cellStyle name="40% - Accent5 2 7" xfId="55"/>
    <cellStyle name="40% - Accent6 2" xfId="12"/>
    <cellStyle name="40% - Accent6 2 2" xfId="53"/>
    <cellStyle name="40% - Accent6 2 2 2" xfId="98"/>
    <cellStyle name="40% - Accent6 2 2 3" xfId="226"/>
    <cellStyle name="40% - Accent6 2 3" xfId="100"/>
    <cellStyle name="40% - Accent6 2 4" xfId="135"/>
    <cellStyle name="40% - Accent6 2 5" xfId="105"/>
    <cellStyle name="40% - Accent6 2 6" xfId="87"/>
    <cellStyle name="40% - Accent6 2 7" xfId="54"/>
    <cellStyle name="Calculation 2" xfId="56"/>
    <cellStyle name="Calculation 2 2" xfId="78"/>
    <cellStyle name="Calculation 2 3" xfId="207"/>
    <cellStyle name="Calculation 3" xfId="107"/>
    <cellStyle name="Calculation 3 2" xfId="227"/>
    <cellStyle name="Calculation 4" xfId="85"/>
    <cellStyle name="Calculation 4 2" xfId="214"/>
    <cellStyle name="Calculation 5" xfId="95"/>
    <cellStyle name="Calculation 5 2" xfId="223"/>
    <cellStyle name="Calculation 6" xfId="130"/>
    <cellStyle name="Calculation 6 2" xfId="238"/>
    <cellStyle name="Calculation 7" xfId="121"/>
    <cellStyle name="Calculation 7 2" xfId="232"/>
    <cellStyle name="Calculation 8" xfId="48"/>
    <cellStyle name="Currency" xfId="13" builtinId="4"/>
    <cellStyle name="Currency 2" xfId="260"/>
    <cellStyle name="Currency 3" xfId="273"/>
    <cellStyle name="Heading 1 2" xfId="59"/>
    <cellStyle name="Heading 1 2 2" xfId="110"/>
    <cellStyle name="Heading 1 2 3" xfId="228"/>
    <cellStyle name="Heading 1 3" xfId="132"/>
    <cellStyle name="Heading 1 4" xfId="99"/>
    <cellStyle name="Heading 1 5" xfId="136"/>
    <cellStyle name="Heading 1 6" xfId="167"/>
    <cellStyle name="Heading 1 7" xfId="41"/>
    <cellStyle name="Heading 2 2" xfId="60"/>
    <cellStyle name="Heading 2 2 2" xfId="111"/>
    <cellStyle name="Heading 2 2 3" xfId="229"/>
    <cellStyle name="Heading 2 3" xfId="133"/>
    <cellStyle name="Heading 2 4" xfId="101"/>
    <cellStyle name="Heading 2 5" xfId="139"/>
    <cellStyle name="Heading 2 6" xfId="169"/>
    <cellStyle name="Heading 2 7" xfId="39"/>
    <cellStyle name="Hyperlink" xfId="14" builtinId="8"/>
    <cellStyle name="Hyperlink 2" xfId="15"/>
    <cellStyle name="Hyperlink 3" xfId="265"/>
    <cellStyle name="Hyperlink 4" xfId="270"/>
    <cellStyle name="Hyperlink 5" xfId="272"/>
    <cellStyle name="Hyperlink_1.4WinrF" xfId="16"/>
    <cellStyle name="Hyperlink_New1.4Winr" xfId="17"/>
    <cellStyle name="Hyperlink_xPetes_YoBrew" xfId="18"/>
    <cellStyle name="Input 2" xfId="63"/>
    <cellStyle name="Input 2 2" xfId="79"/>
    <cellStyle name="Input 2 3" xfId="208"/>
    <cellStyle name="Input 3" xfId="115"/>
    <cellStyle name="Input 3 2" xfId="230"/>
    <cellStyle name="Input 4" xfId="138"/>
    <cellStyle name="Input 4 2" xfId="239"/>
    <cellStyle name="Input 5" xfId="116"/>
    <cellStyle name="Input 5 2" xfId="231"/>
    <cellStyle name="Input 6" xfId="152"/>
    <cellStyle name="Input 6 2" xfId="240"/>
    <cellStyle name="Input 7" xfId="191"/>
    <cellStyle name="Input 7 2" xfId="253"/>
    <cellStyle name="Input 8" xfId="199"/>
    <cellStyle name="Normal" xfId="0" builtinId="0"/>
    <cellStyle name="Normal 11" xfId="77"/>
    <cellStyle name="Normal 2" xfId="19"/>
    <cellStyle name="Normal 3" xfId="20"/>
    <cellStyle name="Normal 3 2" xfId="66"/>
    <cellStyle name="Normal 3 3" xfId="119"/>
    <cellStyle name="Normal 3 4" xfId="141"/>
    <cellStyle name="Normal 3 5" xfId="162"/>
    <cellStyle name="Normal 3 6" xfId="179"/>
    <cellStyle name="Normal 3 7" xfId="192"/>
    <cellStyle name="Normal 3 8" xfId="200"/>
    <cellStyle name="Normal 4" xfId="258"/>
    <cellStyle name="Normal 5" xfId="263"/>
    <cellStyle name="Normal 6" xfId="267"/>
    <cellStyle name="Normal 7" xfId="271"/>
    <cellStyle name="Normal 8" xfId="274"/>
    <cellStyle name="Normal_)_1.4WinrF" xfId="21"/>
    <cellStyle name="Normal_)_New1.4Winr" xfId="22"/>
    <cellStyle name="Normal_1.4WinrF" xfId="23"/>
    <cellStyle name="Normal_1.4WinrF 2" xfId="261"/>
    <cellStyle name="Normal_1.4WinrF_Wine Ca" xfId="24"/>
    <cellStyle name="Normal_Beer Kit Calc's " xfId="25"/>
    <cellStyle name="Normal_Copy of Acid-Cal" xfId="275"/>
    <cellStyle name="Normal_Copy of Acid-Cal 2" xfId="268"/>
    <cellStyle name="Normal_General Calc's" xfId="26"/>
    <cellStyle name="Normal_General Calc's_1" xfId="27"/>
    <cellStyle name="Normal_New1.4Winr" xfId="28"/>
    <cellStyle name="Normal_Peter's B &amp; W Ca" xfId="29"/>
    <cellStyle name="Normal_Peter's B &amp; W Ca 2" xfId="266"/>
    <cellStyle name="Normal_Peter's B &amp; W Ca_1112MASTERbeer" xfId="278"/>
    <cellStyle name="Normal_Peter's B &amp; W Ca_Primer" xfId="277"/>
    <cellStyle name="Normal_Pete's YoBrew Ca" xfId="30"/>
    <cellStyle name="Normal_Pete's YoBrew Ca 2" xfId="264"/>
    <cellStyle name="Normal_Pete's YoBrew Ca 3" xfId="269"/>
    <cellStyle name="Normal_Petes_YoBrew_Bee" xfId="31"/>
    <cellStyle name="Normal_Petes_YoBrew_Beer_Calcs_v1.5b" xfId="262"/>
    <cellStyle name="Normal_Petes_YoBrew_Cal" xfId="259"/>
    <cellStyle name="Normal_Primer" xfId="32"/>
    <cellStyle name="Normal_Sheet1_4+ YoBrew" xfId="276"/>
    <cellStyle name="Normal_YOBREW Beer Prim" xfId="33"/>
    <cellStyle name="Note 2" xfId="34"/>
    <cellStyle name="Note 2 2" xfId="70"/>
    <cellStyle name="Note 2 2 2" xfId="81"/>
    <cellStyle name="Note 2 2 3" xfId="210"/>
    <cellStyle name="Note 2 3" xfId="124"/>
    <cellStyle name="Note 2 3 2" xfId="234"/>
    <cellStyle name="Note 2 4" xfId="156"/>
    <cellStyle name="Note 2 4 2" xfId="242"/>
    <cellStyle name="Note 2 5" xfId="174"/>
    <cellStyle name="Note 2 5 2" xfId="246"/>
    <cellStyle name="Note 2 6" xfId="186"/>
    <cellStyle name="Note 2 6 2" xfId="250"/>
    <cellStyle name="Note 2 7" xfId="194"/>
    <cellStyle name="Note 2 7 2" xfId="255"/>
    <cellStyle name="Note 2 8" xfId="202"/>
    <cellStyle name="Note 3" xfId="69"/>
    <cellStyle name="Note 3 2" xfId="80"/>
    <cellStyle name="Note 3 3" xfId="209"/>
    <cellStyle name="Note 4" xfId="123"/>
    <cellStyle name="Note 4 2" xfId="233"/>
    <cellStyle name="Note 5" xfId="155"/>
    <cellStyle name="Note 5 2" xfId="241"/>
    <cellStyle name="Note 6" xfId="173"/>
    <cellStyle name="Note 6 2" xfId="245"/>
    <cellStyle name="Note 7" xfId="185"/>
    <cellStyle name="Note 7 2" xfId="249"/>
    <cellStyle name="Note 8" xfId="193"/>
    <cellStyle name="Note 8 2" xfId="254"/>
    <cellStyle name="Note 9" xfId="201"/>
    <cellStyle name="Output 2" xfId="71"/>
    <cellStyle name="Output 2 2" xfId="82"/>
    <cellStyle name="Output 2 3" xfId="211"/>
    <cellStyle name="Output 3" xfId="125"/>
    <cellStyle name="Output 3 2" xfId="235"/>
    <cellStyle name="Output 4" xfId="157"/>
    <cellStyle name="Output 4 2" xfId="243"/>
    <cellStyle name="Output 5" xfId="175"/>
    <cellStyle name="Output 5 2" xfId="247"/>
    <cellStyle name="Output 6" xfId="187"/>
    <cellStyle name="Output 6 2" xfId="251"/>
    <cellStyle name="Output 7" xfId="195"/>
    <cellStyle name="Output 7 2" xfId="256"/>
    <cellStyle name="Output 8" xfId="203"/>
    <cellStyle name="Percent" xfId="35" builtinId="5"/>
    <cellStyle name="Percent 2" xfId="36"/>
    <cellStyle name="Percent 2 2" xfId="37"/>
    <cellStyle name="Percent 2 2 2" xfId="73"/>
    <cellStyle name="Percent 2 2 3" xfId="127"/>
    <cellStyle name="Percent 2 2 4" xfId="159"/>
    <cellStyle name="Percent 2 2 5" xfId="177"/>
    <cellStyle name="Percent 2 2 6" xfId="189"/>
    <cellStyle name="Percent 2 2 7" xfId="197"/>
    <cellStyle name="Percent 2 2 8" xfId="205"/>
    <cellStyle name="Percent 2 3" xfId="72"/>
    <cellStyle name="Percent 2 3 2" xfId="126"/>
    <cellStyle name="Percent 2 3 3" xfId="236"/>
    <cellStyle name="Percent 2 4" xfId="158"/>
    <cellStyle name="Percent 2 5" xfId="176"/>
    <cellStyle name="Percent 2 6" xfId="188"/>
    <cellStyle name="Percent 2 7" xfId="196"/>
    <cellStyle name="Percent 2 8" xfId="204"/>
    <cellStyle name="Percent 2_1.6.Wine_&amp;_Ja" xfId="38"/>
    <cellStyle name="Total 2" xfId="75"/>
    <cellStyle name="Total 2 2" xfId="83"/>
    <cellStyle name="Total 2 3" xfId="212"/>
    <cellStyle name="Total 3" xfId="129"/>
    <cellStyle name="Total 3 2" xfId="237"/>
    <cellStyle name="Total 4" xfId="161"/>
    <cellStyle name="Total 4 2" xfId="244"/>
    <cellStyle name="Total 5" xfId="178"/>
    <cellStyle name="Total 5 2" xfId="248"/>
    <cellStyle name="Total 6" xfId="190"/>
    <cellStyle name="Total 6 2" xfId="252"/>
    <cellStyle name="Total 7" xfId="198"/>
    <cellStyle name="Total 7 2" xfId="257"/>
    <cellStyle name="Total 8" xfId="206"/>
  </cellStyles>
  <dxfs count="61">
    <dxf>
      <font>
        <color theme="0"/>
      </font>
    </dxf>
    <dxf>
      <font>
        <b val="0"/>
        <color rgb="FF00CCFF"/>
      </font>
    </dxf>
    <dxf>
      <font>
        <condense val="0"/>
        <extend val="0"/>
        <color rgb="FF9C0006"/>
      </font>
      <fill>
        <patternFill>
          <bgColor rgb="FFFFC7CE"/>
        </patternFill>
      </fill>
    </dxf>
    <dxf>
      <fill>
        <patternFill patternType="solid">
          <bgColor rgb="FFFFC7CE"/>
        </patternFill>
      </fill>
    </dxf>
    <dxf>
      <fill>
        <patternFill patternType="solid">
          <bgColor rgb="FFFF0000"/>
        </patternFill>
      </fill>
    </dxf>
    <dxf>
      <fill>
        <patternFill patternType="solid">
          <bgColor rgb="FFFF9900"/>
        </patternFill>
      </fill>
    </dxf>
    <dxf>
      <fill>
        <patternFill patternType="solid">
          <bgColor rgb="FFFF0000"/>
        </patternFill>
      </fill>
    </dxf>
    <dxf>
      <fill>
        <patternFill patternType="solid">
          <bgColor rgb="FFFF9900"/>
        </patternFill>
      </fill>
    </dxf>
    <dxf>
      <font>
        <color rgb="FFFF0000"/>
      </font>
    </dxf>
    <dxf>
      <font>
        <color rgb="FFFF0000"/>
      </font>
    </dxf>
    <dxf>
      <fill>
        <patternFill patternType="solid">
          <bgColor rgb="FFFF9900"/>
        </patternFill>
      </fill>
    </dxf>
    <dxf>
      <fill>
        <patternFill patternType="solid">
          <bgColor rgb="FFFF9900"/>
        </patternFill>
      </fill>
    </dxf>
    <dxf>
      <fill>
        <patternFill patternType="solid">
          <bgColor rgb="FFFF0000"/>
        </patternFill>
      </fill>
    </dxf>
    <dxf>
      <fill>
        <patternFill patternType="solid">
          <bgColor rgb="FFFFCC99"/>
        </patternFill>
      </fill>
    </dxf>
    <dxf>
      <fill>
        <patternFill patternType="solid">
          <bgColor rgb="FFFF0000"/>
        </patternFill>
      </fill>
    </dxf>
    <dxf>
      <fill>
        <patternFill patternType="solid">
          <bgColor rgb="FFFF0000"/>
        </patternFill>
      </fill>
    </dxf>
    <dxf>
      <fill>
        <patternFill patternType="solid">
          <bgColor rgb="FFFFCC99"/>
        </patternFill>
      </fill>
    </dxf>
    <dxf>
      <font>
        <color rgb="FFFF0000"/>
      </font>
    </dxf>
    <dxf>
      <font>
        <color rgb="FF000000"/>
      </font>
    </dxf>
    <dxf>
      <font>
        <color rgb="FFFF99FF"/>
      </font>
    </dxf>
    <dxf>
      <font>
        <condense val="0"/>
        <extend val="0"/>
        <color indexed="10"/>
      </font>
    </dxf>
    <dxf>
      <font>
        <color rgb="FFFF99FF"/>
      </font>
    </dxf>
    <dxf>
      <font>
        <condense val="0"/>
        <extend val="0"/>
        <color indexed="10"/>
      </font>
    </dxf>
    <dxf>
      <font>
        <color rgb="FFFF99FF"/>
      </font>
    </dxf>
    <dxf>
      <font>
        <condense val="0"/>
        <extend val="0"/>
        <color indexed="10"/>
      </font>
    </dxf>
    <dxf>
      <font>
        <color rgb="FFFF99FF"/>
      </font>
    </dxf>
    <dxf>
      <font>
        <condense val="0"/>
        <extend val="0"/>
        <color indexed="10"/>
      </font>
    </dxf>
    <dxf>
      <font>
        <color rgb="FFFF99FF"/>
      </font>
    </dxf>
    <dxf>
      <font>
        <condense val="0"/>
        <extend val="0"/>
        <color indexed="10"/>
      </font>
    </dxf>
    <dxf>
      <font>
        <color rgb="FFFF99FF"/>
      </font>
    </dxf>
    <dxf>
      <font>
        <condense val="0"/>
        <extend val="0"/>
        <color indexed="10"/>
      </font>
    </dxf>
    <dxf>
      <font>
        <color rgb="FFFF0000"/>
      </font>
    </dxf>
    <dxf>
      <font>
        <color rgb="FFFF0000"/>
      </font>
    </dxf>
    <dxf>
      <font>
        <color rgb="FFFF0000"/>
      </font>
    </dxf>
    <dxf>
      <font>
        <color rgb="FFFF0000"/>
      </font>
    </dxf>
    <dxf>
      <font>
        <color rgb="FFFF99FF"/>
      </font>
    </dxf>
    <dxf>
      <font>
        <condense val="0"/>
        <extend val="0"/>
        <color indexed="10"/>
      </font>
    </dxf>
    <dxf>
      <font>
        <color rgb="FFFF0000"/>
      </font>
    </dxf>
    <dxf>
      <font>
        <color rgb="FFFF99FF"/>
      </font>
    </dxf>
    <dxf>
      <font>
        <color rgb="FFFF0000"/>
      </font>
    </dxf>
    <dxf>
      <font>
        <color rgb="FFFF0000"/>
      </font>
    </dxf>
    <dxf>
      <font>
        <color rgb="FFFF0000"/>
      </font>
    </dxf>
    <dxf>
      <font>
        <color rgb="FFFF33CC"/>
      </font>
    </dxf>
    <dxf>
      <font>
        <color rgb="FFFF0000"/>
      </font>
    </dxf>
    <dxf>
      <fill>
        <patternFill patternType="solid">
          <bgColor rgb="FFFF0000"/>
        </patternFill>
      </fill>
    </dxf>
    <dxf>
      <fill>
        <patternFill patternType="solid">
          <bgColor rgb="FFFF0000"/>
        </patternFill>
      </fill>
    </dxf>
    <dxf>
      <fill>
        <patternFill patternType="solid">
          <bgColor rgb="FFFF0000"/>
        </patternFill>
      </fill>
    </dxf>
    <dxf>
      <font>
        <color rgb="FFFFFFFF"/>
      </font>
      <fill>
        <patternFill patternType="solid">
          <bgColor rgb="FFFF0000"/>
        </patternFill>
      </fill>
    </dxf>
    <dxf>
      <fill>
        <patternFill patternType="solid">
          <bgColor rgb="FFFFCC00"/>
        </patternFill>
      </fill>
    </dxf>
    <dxf>
      <font>
        <u/>
      </font>
      <fill>
        <patternFill patternType="solid">
          <bgColor rgb="FF00FF00"/>
        </patternFill>
      </fill>
    </dxf>
    <dxf>
      <font>
        <color rgb="FFFFFFFF"/>
      </font>
      <fill>
        <patternFill patternType="solid">
          <bgColor rgb="FFFF0000"/>
        </patternFill>
      </fill>
    </dxf>
    <dxf>
      <fill>
        <patternFill patternType="solid">
          <bgColor rgb="FFFFCC00"/>
        </patternFill>
      </fill>
    </dxf>
    <dxf>
      <font>
        <u/>
      </font>
      <fill>
        <patternFill patternType="solid">
          <bgColor rgb="FF00FF00"/>
        </patternFill>
      </fill>
    </dxf>
    <dxf>
      <font>
        <color rgb="FFFFFFFF"/>
      </font>
      <fill>
        <patternFill patternType="solid">
          <bgColor rgb="FFFF0000"/>
        </patternFill>
      </fill>
    </dxf>
    <dxf>
      <fill>
        <patternFill patternType="solid">
          <bgColor rgb="FFFFCC00"/>
        </patternFill>
      </fill>
    </dxf>
    <dxf>
      <font>
        <u/>
      </font>
      <fill>
        <patternFill patternType="solid">
          <bgColor rgb="FF00FF00"/>
        </patternFill>
      </fill>
    </dxf>
    <dxf>
      <font>
        <color rgb="FFFFFFFF"/>
      </font>
      <fill>
        <patternFill patternType="solid">
          <bgColor rgb="FFFF0000"/>
        </patternFill>
      </fill>
    </dxf>
    <dxf>
      <fill>
        <patternFill patternType="solid">
          <bgColor rgb="FFFFCC00"/>
        </patternFill>
      </fill>
    </dxf>
    <dxf>
      <font>
        <u/>
      </font>
      <fill>
        <patternFill patternType="solid">
          <bgColor rgb="FF00FF00"/>
        </patternFill>
      </fill>
    </dxf>
    <dxf>
      <fill>
        <patternFill patternType="solid">
          <bgColor rgb="FFFF0000"/>
        </patternFill>
      </fill>
    </dxf>
    <dxf>
      <font>
        <color rgb="FFFF0000"/>
      </font>
    </dxf>
  </dxfs>
  <tableStyles count="0"/>
  <colors>
    <mruColors>
      <color rgb="FFFFFF99"/>
      <color rgb="FFFF00FF"/>
      <color rgb="FF808080"/>
      <color rgb="FFC0504D"/>
      <color rgb="FF3366FF"/>
      <color rgb="FF048698"/>
      <color rgb="FF000000"/>
      <color rgb="FFCCFFFF"/>
      <color rgb="FF969696"/>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7.jpeg"/><Relationship Id="rId3" Type="http://schemas.openxmlformats.org/officeDocument/2006/relationships/image" Target="../media/image3.png"/><Relationship Id="rId7" Type="http://schemas.openxmlformats.org/officeDocument/2006/relationships/hyperlink" Target="http://www.petespintpot.co.uk/Noises%20For%20The%20Leg,%20Bonzo%20Dog%20Doo-Dah%20Band.mp3" TargetMode="Externa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8" Type="http://schemas.openxmlformats.org/officeDocument/2006/relationships/image" Target="../media/image11.jpeg"/><Relationship Id="rId3" Type="http://schemas.openxmlformats.org/officeDocument/2006/relationships/image" Target="../media/image7.jpeg"/><Relationship Id="rId7" Type="http://schemas.openxmlformats.org/officeDocument/2006/relationships/hyperlink" Target="http://www.yobrew.co.uk/" TargetMode="External"/><Relationship Id="rId2" Type="http://schemas.openxmlformats.org/officeDocument/2006/relationships/hyperlink" Target="http://www.petespintpot.co.uk/Noises%20For%20The%20Leg,%20Bonzo%20Dog%20Doo-Dah%20Band.mp3" TargetMode="External"/><Relationship Id="rId1" Type="http://schemas.openxmlformats.org/officeDocument/2006/relationships/image" Target="../media/image8.jpeg"/><Relationship Id="rId6" Type="http://schemas.openxmlformats.org/officeDocument/2006/relationships/image" Target="../media/image10.jpeg"/><Relationship Id="rId5" Type="http://schemas.openxmlformats.org/officeDocument/2006/relationships/hyperlink" Target="http://www.signaturewinesofohio.com/" TargetMode="External"/><Relationship Id="rId4" Type="http://schemas.openxmlformats.org/officeDocument/2006/relationships/image" Target="../media/image9.png"/><Relationship Id="rId9" Type="http://schemas.openxmlformats.org/officeDocument/2006/relationships/image" Target="../media/image1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4.png"/></Relationships>
</file>

<file path=xl/drawings/_rels/drawing5.xml.rels><?xml version="1.0" encoding="UTF-8" standalone="yes"?>
<Relationships xmlns="http://schemas.openxmlformats.org/package/2006/relationships"><Relationship Id="rId1" Type="http://schemas.openxmlformats.org/officeDocument/2006/relationships/image" Target="../media/image15.jpeg"/></Relationships>
</file>

<file path=xl/drawings/drawing1.xml><?xml version="1.0" encoding="utf-8"?>
<xdr:wsDr xmlns:xdr="http://schemas.openxmlformats.org/drawingml/2006/spreadsheetDrawing" xmlns:a="http://schemas.openxmlformats.org/drawingml/2006/main">
  <xdr:twoCellAnchor>
    <xdr:from>
      <xdr:col>4</xdr:col>
      <xdr:colOff>68579</xdr:colOff>
      <xdr:row>125</xdr:row>
      <xdr:rowOff>104140</xdr:rowOff>
    </xdr:from>
    <xdr:to>
      <xdr:col>10</xdr:col>
      <xdr:colOff>669779</xdr:colOff>
      <xdr:row>125</xdr:row>
      <xdr:rowOff>104140</xdr:rowOff>
    </xdr:to>
    <xdr:sp macro="" textlink="">
      <xdr:nvSpPr>
        <xdr:cNvPr id="2" name="Line 245"/>
        <xdr:cNvSpPr>
          <a:extLst>
            <a:ext uri="smNativeData">
              <pm:smNativeData xmlns="" xmlns:pm="pm" val="SMDATA_11_SWiLXRMAAAAlAAAACgAAAI0AAAAAkAAAAEgAAACQAAAASAAAAAAAAAAAAAAAAAAAAAEAAABQAAAAAAAAAAAA4D8AAAAAAADgPwAAAAAAAOA/AAAAAAAA4D8AAAAAAADgPwAAAAAAAOA/AAAAAAAA4D8AAAAAAADgPwAAAAAAAOA/AAAAAAAA4D8CAAAAjAAAAAAAAAAAAAAA////AAAAAAAAAAAAAAAAAAAAAAAAAAAAAAAAAAAAAAAAAAAAZAAAAAEAAABAAAAAAAAAAAAAAAAAAAAAAAAAAAAAAAAAAAAAAAAAAAAAAAAAAAAAAAAAAAAAAAAAAAAAAAAAAAAAAAAAAAAAAAAAAAAAAAAAAAAAAAAAAAAAAAAAAAAAFAAAADwAAAABAAAAAAAAAAAAAAAPAAAAAQAAACMAAAAjAAAAIwAAAB4AAAAAAAAAZAAAAGQAAAACAAAAZAAAAGQAAAAVAAAAYAAAAAAAAAAAAAAADwAAACADAAAAAAAAAAAAAAEAAACgMgAAVgcAAKr4//8BAAAAf39/AAEAAABkAAAAAAAAABQAAABAHwAAAAAAACYAAAAAAAAAwOD//wAAAAAmAAAAZAAAABYAAABMAAAAAAAAAAAAAAAEAAAAAAAAAAEAAAB/f38AAAAAACgAAAAoAAAAZAAAAGQAAAAAAAAAzMzMAAAAAABQAAAAUAAAAGQAAABkAAAAAAAAABcAAAAUAAAAAAAAAAAAAAD/fwAA/38AAAAAAAAJAAAABAAAAAAAAAAMAAAAEAAAAAAAAAAAAAAAAAAAAAAAAAAeAAAAaAAAAAAAAAAAAAAAAAAAAAAAAAAAAAAAECcAABAnAAAAAAAAAAAAAAAAAAAAAAAAAAAAAAAAAAAAAAAAAAAAABQAAAAAAAAAwMD/AAAAAABkAAAAMgAAAAAAAABkAAAAAAAAAH9/fwAKAAAAIQAAAC4AAAAqAAAAeAAAAAkAAAB0AgcAeAAAAAoAAAB0AqsDYiwAACyOAAA1CAAAAAAAAAAA"/>
            </a:ext>
          </a:extLst>
        </xdr:cNvSpPr>
      </xdr:nvSpPr>
      <xdr:spPr>
        <a:xfrm>
          <a:off x="3789679" y="24043640"/>
          <a:ext cx="4716000" cy="0"/>
        </a:xfrm>
        <a:prstGeom prst="line">
          <a:avLst/>
        </a:prstGeom>
        <a:noFill/>
        <a:ln w="9525" cap="flat">
          <a:solidFill>
            <a:srgbClr val="000000"/>
          </a:solidFill>
          <a:prstDash val="solid"/>
          <a:miter lim="800000"/>
          <a:headEnd type="none" w="med" len="med"/>
          <a:tailEnd type="triangle" w="med" len="med"/>
        </a:ln>
        <a:effectLst/>
      </xdr:spPr>
    </xdr:sp>
    <xdr:clientData/>
  </xdr:twoCellAnchor>
  <xdr:twoCellAnchor editAs="absolute">
    <xdr:from>
      <xdr:col>8</xdr:col>
      <xdr:colOff>190500</xdr:colOff>
      <xdr:row>164</xdr:row>
      <xdr:rowOff>34133</xdr:rowOff>
    </xdr:from>
    <xdr:to>
      <xdr:col>16</xdr:col>
      <xdr:colOff>38100</xdr:colOff>
      <xdr:row>187</xdr:row>
      <xdr:rowOff>110333</xdr:rowOff>
    </xdr:to>
    <xdr:sp macro="" textlink="" fLocksText="0">
      <xdr:nvSpPr>
        <xdr:cNvPr id="3" name="Text Box 246"/>
        <xdr:cNvSpPr>
          <a:extLst>
            <a:ext uri="smNativeData">
              <pm:smNativeData xmlns="" xmlns:pm="pm" val="SMDATA_11_SWiLXRMAAAAlAAAAZAAAAA0AAAAAKwAAACQAAAAAAAAAAAAAAAAAAAAAAAAAAAAAAAEAAABQAAAAAAAAAAAA4D8AAAAAAADgPwAAAAAAAOA/AAAAAAAA4D8AAAAAAADgPwAAAAAAAOA/AAAAAAAA4D8AAAAAAADgPwAAAAAAAOA/AAAAAAAA4D8CAAAAjAAAAAEAAAAAAAAA////AAAAAAAAAAAAAAAAAAAAAAAAAAAAAAAAAAAAAAAAAAAAeAAAAAEAAABAAAAAAAAAAAAAAABaAAAAAAAAAAAAAAAAAAAAAAAAAAAAAAAAAAAAAAAAAAAAAAAAAAAAAAAAAAAAAAAAAAAAAAAAAAAAAAAAAAAAAAAAAAAAAAAAAAAAFAAAADwAAAABAAAAAAAAAAAAAAAPAAAAAQAAACMAAAAjAAAAIwAAAB4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BcAAAAUAAAAAAAAAAAAAAD/fwAA/38AAAAAAAAJAAAABAAAANGUZAUMAAAAEAAAAAAAAAAAAAAAAAAAAAAAAAAeAAAAaAAAAAAAAAAAAAAAAAAAAAAAAAAAAAAAECcAABAnAAAAAAAAAAAAAAAAAAAAAAAAAAAAAAAAAAAAAAAAAAAAABQAAAAAAAAAwMD/AAAAAABkAAAAMgAAAAAAAABkAAAAAAAAAH9/fwAKAAAAIQAAAC4AAAAqAAAAogAAAAgAAABYAMgAtwAAABAAAADAA5wC5SgAAMq+AAAwIgAALBYAAAAA"/>
            </a:ext>
          </a:extLst>
        </xdr:cNvSpPr>
      </xdr:nvSpPr>
      <xdr:spPr>
        <a:xfrm>
          <a:off x="6654800" y="31390433"/>
          <a:ext cx="5486400" cy="3886200"/>
        </a:xfrm>
        <a:prstGeom prst="rect">
          <a:avLst/>
        </a:prstGeom>
        <a:solidFill>
          <a:srgbClr val="FFFFFF"/>
        </a:solidFill>
        <a:ln w="9525" cap="flat">
          <a:solidFill>
            <a:srgbClr val="000000"/>
          </a:solidFill>
          <a:prstDash val="solid"/>
          <a:miter lim="800000"/>
          <a:headEnd type="none" w="med" len="med"/>
          <a:tailEnd type="none" w="med" len="med"/>
        </a:ln>
        <a:effectLst/>
      </xdr:spPr>
      <xdr:txBody>
        <a:bodyPr spcFirstLastPara="1" vertOverflow="clip" horzOverflow="clip" wrap="square" lIns="27305" tIns="22860" rIns="0" bIns="0" anchor="t"/>
        <a:lstStyle/>
        <a:p>
          <a:pPr algn="l" defTabSz="360045" rtl="0">
            <a:defRPr sz="1000"/>
          </a:pPr>
          <a:endParaRPr lang="en-GB" sz="1100">
            <a:latin typeface="Times New Roman" pitchFamily="18" charset="0"/>
            <a:cs typeface="Times New Roman" pitchFamily="18" charset="0"/>
          </a:endParaRPr>
        </a:p>
      </xdr:txBody>
    </xdr:sp>
    <xdr:clientData/>
  </xdr:twoCellAnchor>
  <xdr:twoCellAnchor>
    <xdr:from>
      <xdr:col>12</xdr:col>
      <xdr:colOff>595334</xdr:colOff>
      <xdr:row>116</xdr:row>
      <xdr:rowOff>143952</xdr:rowOff>
    </xdr:from>
    <xdr:to>
      <xdr:col>16</xdr:col>
      <xdr:colOff>70751</xdr:colOff>
      <xdr:row>120</xdr:row>
      <xdr:rowOff>62998</xdr:rowOff>
    </xdr:to>
    <xdr:pic>
      <xdr:nvPicPr>
        <xdr:cNvPr id="4" name="Picture 17" descr="YBwine"/>
        <xdr:cNvPicPr>
          <a:picLocks noChangeAspect="1"/>
          <a:extLst>
            <a:ext uri="smNativeData">
              <pm:smNativeData xmlns="" xmlns:pm="pm" val="SMDATA_12_SWiLXRMAAAAlAAAAEQAAAK0AAAAAkAAAAEgAAACQAAAASAAAAAAAAAAAAAAAAAAAAAEAAABQAAAAAAAAAAAA4D8AAAAAAADgPwAAAAAAAOA/AAAAAAAA4D8AAAAAAADgPwAAAAAAAOA/AAAAAAAA4D8AAAAAAADgPwAAAAAAAOA/AAAAAAAA4D8CAAAAjAAAAAAAAAAAAAAA////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EAAAAXAAAAFAAAAAAAAAAAAAAA/38AAP9/AAAAAAAACQAAAAQAAAAI+wt3DAAAABAAAAAAAAAAAAAAAAAAAAAAAAAAHgAAAGgAAAAAAAAAAAAAAAAAAAAAAAAAAAAAABAnAAAQJwAAAAAAAAAAAAAAAAAAAAAAAAAAAAAAAAAAAAAAAAAAAAAUAAAAAAAAAMDA/wAAAAAAZAAAADIAAAAAAAAAZAAAAAAAAAB/f38ACgAAACEAAAAuAAAAKgAAAIUAAAAGAAAAWQIDA4kAAAAJAAAAsQDmA7IiAABgnQAA2A0AADQEAAAAAA=="/>
            </a:ext>
          </a:extLst>
        </xdr:cNvPicPr>
      </xdr:nvPicPr>
      <xdr:blipFill>
        <a:blip xmlns:r="http://schemas.openxmlformats.org/officeDocument/2006/relationships" r:embed="rId1" cstate="print"/>
        <a:stretch>
          <a:fillRect/>
        </a:stretch>
      </xdr:blipFill>
      <xdr:spPr>
        <a:xfrm>
          <a:off x="9980634" y="22368952"/>
          <a:ext cx="2193217" cy="681046"/>
        </a:xfrm>
        <a:prstGeom prst="rect">
          <a:avLst/>
        </a:prstGeom>
        <a:noFill/>
        <a:ln w="12700" cap="flat">
          <a:noFill/>
          <a:prstDash val="solid"/>
          <a:miter lim="800000"/>
          <a:headEnd type="none" w="med" len="med"/>
          <a:tailEnd type="none" w="med" len="med"/>
        </a:ln>
        <a:effectLst/>
      </xdr:spPr>
    </xdr:pic>
    <xdr:clientData/>
  </xdr:twoCellAnchor>
  <xdr:twoCellAnchor>
    <xdr:from>
      <xdr:col>3</xdr:col>
      <xdr:colOff>30480</xdr:colOff>
      <xdr:row>164</xdr:row>
      <xdr:rowOff>7620</xdr:rowOff>
    </xdr:from>
    <xdr:to>
      <xdr:col>8</xdr:col>
      <xdr:colOff>114300</xdr:colOff>
      <xdr:row>185</xdr:row>
      <xdr:rowOff>22860</xdr:rowOff>
    </xdr:to>
    <xdr:pic>
      <xdr:nvPicPr>
        <xdr:cNvPr id="5" name="Picture 16" descr="food-drink-room_temperature-wine_sommeliers-wine_menus-wine_snobs-wine_connoisseurs-blnn55_low.jpg"/>
        <xdr:cNvPicPr>
          <a:picLocks noChangeAspect="1"/>
          <a:extLst>
            <a:ext uri="smNativeData">
              <pm:smNativeData xmlns="" xmlns:pm="pm" val="SMDATA_12_SWiLXRMAAAAlAAAAEQAAAK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EsGAAAAAAAAKAQAAAAAAABkAAAAZAAAAAEAAAAXAAAAFAAAAAAAAAAAAAAA/38AAP9/AAAAAAAACQAAAAQAAAAAAAAADAAAABAAAAAAAAAAAAAAAAAAAAAAAAAAHgAAAGgAAAAAAAAAAAAAAAAAAAAAAAAAAAAAABAnAAAQJwAAAAAAAAAAAAAAAAAAAAAAAAAAAAAAAAAAAAAAAAAAAAAUAAAAAAAAAMDA/wAAAAAAZAAAADIAAAAAAAAAZAAAAAAAAAB/f38ACgAAACEAAAAuAAAAKgAAAKEAAAADAAAAoANlALYAAAAIAAAAcgJ7AP4SAACQvgAAlBUAAOgUAAAAAA=="/>
            </a:ext>
          </a:extLst>
        </xdr:cNvPicPr>
      </xdr:nvPicPr>
      <xdr:blipFill>
        <a:blip xmlns:r="http://schemas.openxmlformats.org/officeDocument/2006/relationships" r:embed="rId2" cstate="print"/>
        <a:srcRect t="16110" b="10640"/>
        <a:stretch>
          <a:fillRect/>
        </a:stretch>
      </xdr:blipFill>
      <xdr:spPr>
        <a:xfrm>
          <a:off x="3078480" y="31363920"/>
          <a:ext cx="3500120" cy="3469640"/>
        </a:xfrm>
        <a:prstGeom prst="rect">
          <a:avLst/>
        </a:prstGeom>
        <a:noFill/>
        <a:ln w="9525" cap="flat">
          <a:noFill/>
          <a:prstDash val="solid"/>
          <a:miter lim="800000"/>
          <a:headEnd type="none" w="med" len="med"/>
          <a:tailEnd type="none" w="med" len="med"/>
        </a:ln>
        <a:effectLst/>
      </xdr:spPr>
    </xdr:pic>
    <xdr:clientData/>
  </xdr:twoCellAnchor>
  <xdr:twoCellAnchor>
    <xdr:from>
      <xdr:col>6</xdr:col>
      <xdr:colOff>255270</xdr:colOff>
      <xdr:row>111</xdr:row>
      <xdr:rowOff>71120</xdr:rowOff>
    </xdr:from>
    <xdr:to>
      <xdr:col>6</xdr:col>
      <xdr:colOff>459740</xdr:colOff>
      <xdr:row>112</xdr:row>
      <xdr:rowOff>187325</xdr:rowOff>
    </xdr:to>
    <xdr:pic>
      <xdr:nvPicPr>
        <xdr:cNvPr id="7" name="Picture 185" descr="mw2"/>
        <xdr:cNvPicPr>
          <a:picLocks noChangeAspect="1"/>
          <a:extLst>
            <a:ext uri="smNativeData">
              <pm:smNativeData xmlns="" xmlns:pm="pm" val="SMDATA_12_SWiLXRMAAAAlAAAAEQAAAK0AAAAAkAAAAEgAAACQAAAASAAAAAAAAAAAAAAAAAAAAAEAAABQAAAAAAAAAAAA4D8AAAAAAADgPwAAAAAAAOA/AAAAAAAA4D8AAAAAAADgPwAAAAAAAOA/AAAAAAAA4D8AAAAAAADgPwAAAAAAAOA/AAAAAAAA4D8CAAAAjAAAAAAAAAAAAAAA////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YRQAAAAAAABkAAAAZAAAAAEAAAAXAAAAFAAAAAAAAAAAAAAA/38AAP9/AAAAAAAACQAAAAQAAAAAAAAADAAAABAAAAAAAAAAAAAAAAAAAAAAAAAAHgAAAGgAAAAAAAAAAAAAAAAAAAAAAAAAAAAAABAnAAAQJwAAAAAAAAAAAAAAAAAAAAAAAAAAAAAAAAAAAAAAAAAAAAAUAAAAAAAAAMDA/wAAAAAAZAAAADIAAAAAAAAAZAAAAAAAAAB/f38ACgAAACEAAAAuAAAAKgAAAGoAAAAGAAAAfgGyAWsAAAAGAAAA7wPeAkghAAB8fQAAQgEAAOMBAAAAAA=="/>
            </a:ext>
          </a:extLst>
        </xdr:cNvPicPr>
      </xdr:nvPicPr>
      <xdr:blipFill>
        <a:blip xmlns:r="http://schemas.openxmlformats.org/officeDocument/2006/relationships" r:embed="rId3" cstate="print"/>
        <a:srcRect b="52170"/>
        <a:stretch>
          <a:fillRect/>
        </a:stretch>
      </xdr:blipFill>
      <xdr:spPr>
        <a:xfrm>
          <a:off x="5351145" y="21340445"/>
          <a:ext cx="204470" cy="306705"/>
        </a:xfrm>
        <a:prstGeom prst="rect">
          <a:avLst/>
        </a:prstGeom>
        <a:noFill/>
        <a:ln w="12700" cap="flat">
          <a:noFill/>
          <a:prstDash val="solid"/>
          <a:miter lim="800000"/>
          <a:headEnd type="none" w="med" len="med"/>
          <a:tailEnd type="none" w="med" len="med"/>
        </a:ln>
        <a:effectLst/>
      </xdr:spPr>
    </xdr:pic>
    <xdr:clientData/>
  </xdr:twoCellAnchor>
  <xdr:twoCellAnchor>
    <xdr:from>
      <xdr:col>10</xdr:col>
      <xdr:colOff>233045</xdr:colOff>
      <xdr:row>111</xdr:row>
      <xdr:rowOff>35560</xdr:rowOff>
    </xdr:from>
    <xdr:to>
      <xdr:col>10</xdr:col>
      <xdr:colOff>467360</xdr:colOff>
      <xdr:row>112</xdr:row>
      <xdr:rowOff>177800</xdr:rowOff>
    </xdr:to>
    <xdr:pic>
      <xdr:nvPicPr>
        <xdr:cNvPr id="8" name="Picture 186" descr="mw2"/>
        <xdr:cNvPicPr>
          <a:picLocks noChangeAspect="1"/>
          <a:extLst>
            <a:ext uri="smNativeData">
              <pm:smNativeData xmlns="" xmlns:pm="pm" val="SMDATA_12_SWiLXRMAAAAlAAAAEQAAAK0AAAAAkAAAAEgAAACQAAAASAAAAAAAAAAAAAAAAAAAAAEAAABQAAAAAAAAAAAA4D8AAAAAAADgPwAAAAAAAOA/AAAAAAAA4D8AAAAAAADgPwAAAAAAAOA/AAAAAAAA4D8AAAAAAADgPwAAAAAAAOA/AAAAAAAA4D8CAAAAjAAAAAAAAAAAAAAA////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IgTAAAAAAAAAAAAAAAAAABkAAAAZAAAAAEAAAAXAAAAFAAAAAAAAAAAAAAA/38AAP9/AAAAAAAACQAAAAQAAABhAHQADAAAABAAAAAAAAAAAAAAAAAAAAAAAAAAHgAAAGgAAAAAAAAAAAAAAAAAAAAAAAAAAAAAABAnAAAQJwAAAAAAAAAAAAAAAAAAAAAAAAAAAAAAAAAAAAAAAAAAAAAUAAAAAAAAAMDA/wAAAAAAZAAAADIAAAAAAAAAZAAAAAAAAAB/f38ACgAAACEAAAAuAAAAKgAAAGoAAAAKAAAAvwBWAWsAAAAKAAAAvAPaAhUyAABEfQAAoQEAAAwCAAAAAA=="/>
            </a:ext>
          </a:extLst>
        </xdr:cNvPicPr>
      </xdr:nvPicPr>
      <xdr:blipFill>
        <a:blip xmlns:r="http://schemas.openxmlformats.org/officeDocument/2006/relationships" r:embed="rId4" cstate="print"/>
        <a:srcRect t="50000"/>
        <a:stretch>
          <a:fillRect/>
        </a:stretch>
      </xdr:blipFill>
      <xdr:spPr>
        <a:xfrm>
          <a:off x="8043545" y="21304885"/>
          <a:ext cx="234315" cy="332740"/>
        </a:xfrm>
        <a:prstGeom prst="rect">
          <a:avLst/>
        </a:prstGeom>
        <a:noFill/>
        <a:ln w="12700" cap="flat">
          <a:noFill/>
          <a:prstDash val="solid"/>
          <a:miter lim="800000"/>
          <a:headEnd type="none" w="med" len="med"/>
          <a:tailEnd type="none" w="med" len="med"/>
        </a:ln>
        <a:effectLst/>
      </xdr:spPr>
    </xdr:pic>
    <xdr:clientData/>
  </xdr:twoCellAnchor>
  <xdr:twoCellAnchor>
    <xdr:from>
      <xdr:col>9</xdr:col>
      <xdr:colOff>276225</xdr:colOff>
      <xdr:row>109</xdr:row>
      <xdr:rowOff>32385</xdr:rowOff>
    </xdr:from>
    <xdr:to>
      <xdr:col>9</xdr:col>
      <xdr:colOff>398145</xdr:colOff>
      <xdr:row>111</xdr:row>
      <xdr:rowOff>635</xdr:rowOff>
    </xdr:to>
    <xdr:grpSp>
      <xdr:nvGrpSpPr>
        <xdr:cNvPr id="9" name="Group 265"/>
        <xdr:cNvGrpSpPr>
          <a:extLst>
            <a:ext uri="smNativeData">
              <pm:smNativeData xmlns="" xmlns:pm="pm" val="SMDATA_5_SWiLXRMAAAAlAAAAAQAAAI8BAAAAkAAAAEgAAACQAAAASAAAAAAAAAAAAAAAAAAAABcAAAAUAAAAAAAAAAAAAAD/fwAA/38AAAAAAAAJAAAABAAAACBzPSIMAAAAEAAAAAAAAAAAAAAAAAAAAAAAAAAhAAAALgAAACoAAABoAAAACQAAAK4AlQFqAAAACQAAAAMASAINLgAA53oAAMAAAAAmAgAAAAA="/>
            </a:ext>
          </a:extLst>
        </xdr:cNvGrpSpPr>
      </xdr:nvGrpSpPr>
      <xdr:grpSpPr>
        <a:xfrm>
          <a:off x="7439025" y="20923885"/>
          <a:ext cx="121920" cy="349250"/>
          <a:chOff x="7486015" y="19979005"/>
          <a:chExt cx="121920" cy="349250"/>
        </a:xfrm>
      </xdr:grpSpPr>
      <xdr:pic>
        <xdr:nvPicPr>
          <xdr:cNvPr id="10" name="Picture 184" descr="mw2"/>
          <xdr:cNvPicPr>
            <a:picLocks noChangeAspect="1"/>
            <a:extLst>
              <a:ext uri="smNativeData">
                <pm:smNativeData xmlns="" xmlns:pm="pm" val="SMDATA_12_SWiLXRMAAAAlAAAAEQAAAC0AAAAAkAAAAEgAAACQAAAASAAAAAAAAAAAAAAAAAAAAAEAAABQAAAAAAAAAAAA4D8AAAAAAADgPwAAAAAAAOA/AAAAAAAA4D8AAAAAAADgPwAAAAAAAOA/AAAAAAAA4D8AAAAAAADgPwAAAAAAAOA/AAAAAAAA4D8CAAAAjAAAAAAAAAAAAAAA////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GRMAAAAAAABkAAAAZAAAAAEAAAAXAAAAFAAAAAAAAAAAAAAA/38AAP9/AAAAAAAACQAAAAQAAAAvAHcADAAAABAAAAAAAAAAAAAAAAAAAAAAAAAAHgAAAGgAAAAAAAAAAAAAAAAAAAAAAAAAAAAAABAnAAAQJwAAAAAAAAAAAAAAAAAAAAAAAAAAAAAAAAAAAAAAAAAAAAAUAAAAAAAAAMDA/wAAAAAAZAAAADIAAAAAAAAAZAAAAAAAAAB/f38ACgAAACEAAAAuAAAAKgAAAAAAAAAAAAAAAAAAAAAAAAAAAAAAAAAAACUuAADnegAAqAAAAAcBAAAAAA=="/>
              </a:ext>
            </a:extLst>
          </xdr:cNvPicPr>
        </xdr:nvPicPr>
        <xdr:blipFill>
          <a:blip xmlns:r="http://schemas.openxmlformats.org/officeDocument/2006/relationships" r:embed="rId5" cstate="print"/>
          <a:srcRect b="48890"/>
          <a:stretch>
            <a:fillRect/>
          </a:stretch>
        </xdr:blipFill>
        <xdr:spPr>
          <a:xfrm>
            <a:off x="7501255" y="19979005"/>
            <a:ext cx="106680" cy="167005"/>
          </a:xfrm>
          <a:prstGeom prst="rect">
            <a:avLst/>
          </a:prstGeom>
          <a:noFill/>
          <a:ln w="12700" cap="flat">
            <a:noFill/>
            <a:prstDash val="solid"/>
            <a:miter lim="800000"/>
            <a:headEnd type="none" w="med" len="med"/>
            <a:tailEnd type="none" w="med" len="med"/>
          </a:ln>
          <a:effectLst/>
        </xdr:spPr>
      </xdr:pic>
      <xdr:pic>
        <xdr:nvPicPr>
          <xdr:cNvPr id="11" name="Picture 186" descr="mw2"/>
          <xdr:cNvPicPr>
            <a:picLocks noChangeAspect="1"/>
            <a:extLst>
              <a:ext uri="smNativeData">
                <pm:smNativeData xmlns="" xmlns:pm="pm" val="SMDATA_12_SWiLXRMAAAAlAAAAEQAAAC0AAAAAkAAAAEgAAACQAAAASAAAAAAAAAAAAAAAAAAAAAEAAABQAAAAAAAAAAAA4D8AAAAAAADgPwAAAAAAAOA/AAAAAAAA4D8AAAAAAADgPwAAAAAAAOA/AAAAAAAA4D8AAAAAAADgPwAAAAAAAOA/AAAAAAAA4D8CAAAAjAAAAAAAAAAAAAAA////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IgTAAAAAAAAAAAAAAAAAABkAAAAZAAAAAEAAAAXAAAAFAAAAAAAAAAAAAAA/38AAP9/AAAAAAAACQAAAAQAAADML6JaDAAAABAAAAAAAAAAAAAAAAAAAAAAAAAAHgAAAGgAAAAAAAAAAAAAAAAAAAAAAAAAAAAAABAnAAAQJwAAAAAAAAAAAAAAAAAAAAAAAAAAAAAAAAAAAAAAAAAAAAAUAAAAAAAAAMDA/wAAAAAAZAAAADIAAAAAAAAAZAAAAAAAAAB/f38ACgAAACEAAAAuAAAAKgAAAAAAAAAAAAAAAAAAAAAAAAAAAAAAAAAAAA0uAADuewAAwAAAAB8BAAAAAA=="/>
              </a:ext>
            </a:extLst>
          </xdr:cNvPicPr>
        </xdr:nvPicPr>
        <xdr:blipFill>
          <a:blip xmlns:r="http://schemas.openxmlformats.org/officeDocument/2006/relationships" r:embed="rId6" cstate="print"/>
          <a:srcRect t="50000"/>
          <a:stretch>
            <a:fillRect/>
          </a:stretch>
        </xdr:blipFill>
        <xdr:spPr>
          <a:xfrm>
            <a:off x="7486015" y="20146010"/>
            <a:ext cx="121920" cy="182245"/>
          </a:xfrm>
          <a:prstGeom prst="rect">
            <a:avLst/>
          </a:prstGeom>
          <a:noFill/>
          <a:ln w="12700" cap="flat">
            <a:noFill/>
            <a:prstDash val="solid"/>
            <a:miter lim="800000"/>
            <a:headEnd type="none" w="med" len="med"/>
            <a:tailEnd type="none" w="med" len="med"/>
          </a:ln>
          <a:effectLst/>
        </xdr:spPr>
      </xdr:pic>
    </xdr:grpSp>
    <xdr:clientData/>
  </xdr:twoCellAnchor>
  <xdr:twoCellAnchor>
    <xdr:from>
      <xdr:col>13</xdr:col>
      <xdr:colOff>317500</xdr:colOff>
      <xdr:row>79</xdr:row>
      <xdr:rowOff>88900</xdr:rowOff>
    </xdr:from>
    <xdr:to>
      <xdr:col>16</xdr:col>
      <xdr:colOff>3810</xdr:colOff>
      <xdr:row>85</xdr:row>
      <xdr:rowOff>121285</xdr:rowOff>
    </xdr:to>
    <xdr:pic>
      <xdr:nvPicPr>
        <xdr:cNvPr id="12" name="Picture 4" descr="Image result for do not enter">
          <a:hlinkClick xmlns:r="http://schemas.openxmlformats.org/officeDocument/2006/relationships" r:id="rId7"/>
        </xdr:cNvPr>
        <xdr:cNvPicPr>
          <a:picLocks noChangeAspect="1"/>
          <a:extLst>
            <a:ext uri="smNativeData">
              <pm:smNativeData xmlns:pm="pm" xmlns="" val="SMDATA_12_SWiLXRMAAAAlAAAAEQAAAK0AAAAAkAAAAEgAAACQAAAASAAAAAAAAAAAAAAAAAAAAAEAAABQAAAAAAAAAAAA4D8AAAAAAADgPwAAAAAAAOA/AAAAAAAA4D8AAAAAAADgPwAAAAAAAOA/AAAAAAAA4D8AAAAAAADgPwAAAAAAAOA/AAAAAAAA4D8CAAAAjAAAAAAAAAAAAAAA////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BQIAAAAAAABkAAAAZAAAAAEAAAAXAAAAFAAAAAAAAAAAAAAA/38AAP9/AAAAAAAACQAAAAQAAABmC9IADAAAABAAAAAAAAAAAAAAAAAAAAAAAAAAHgAAAGgAAAAAAAAAAAAAAAAAAAAAAAAAAAAAABAnAAAQJwAAAAAAAAAAAAAAAAAAAAAAAAAAAAAAAAAAAAAAAAAAAAAUAAAAAAAAAMDA/wAAAAAAZAAAADIAAAAAAAAAZAAAAAAAAAB/f38ACgAAACEAAAAuAAAAKgAAAG0AAAAMAAAABwCyA3MAAAAPAAAAtQD4ADY9AACSgAAA9gkAADsHAAAAAA=="/>
            </a:ext>
          </a:extLst>
        </xdr:cNvPicPr>
      </xdr:nvPicPr>
      <xdr:blipFill>
        <a:blip xmlns:r="http://schemas.openxmlformats.org/officeDocument/2006/relationships" r:embed="rId8" cstate="print"/>
        <a:srcRect b="5170"/>
        <a:stretch>
          <a:fillRect/>
        </a:stretch>
      </xdr:blipFill>
      <xdr:spPr>
        <a:xfrm>
          <a:off x="10388600" y="15265400"/>
          <a:ext cx="1718310" cy="1175385"/>
        </a:xfrm>
        <a:prstGeom prst="rect">
          <a:avLst/>
        </a:prstGeom>
        <a:noFill/>
        <a:ln w="12700" cap="flat">
          <a:noFill/>
          <a:prstDash val="solid"/>
          <a:miter lim="800000"/>
          <a:headEnd type="none" w="med" len="me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25400</xdr:colOff>
      <xdr:row>160</xdr:row>
      <xdr:rowOff>56776</xdr:rowOff>
    </xdr:from>
    <xdr:to>
      <xdr:col>17</xdr:col>
      <xdr:colOff>534148</xdr:colOff>
      <xdr:row>264</xdr:row>
      <xdr:rowOff>9712</xdr:rowOff>
    </xdr:to>
    <xdr:sp macro="" textlink="" fLocksText="0">
      <xdr:nvSpPr>
        <xdr:cNvPr id="8" name="Text Box 1"/>
        <xdr:cNvSpPr>
          <a:extLst>
            <a:ext uri="smNativeData">
              <pm:smNativeData xmlns="" xmlns:pm="pm" val="SMDATA_11_SWiLXRMAAAAlAAAAZAAAAA0AAAAAKwAAACQAAAAAAAAAAAAAAAAAAAAAAAAAAAAAAAEAAABQAAAAAAAAAAAA4D8AAAAAAADgPwAAAAAAAOA/AAAAAAAA4D8AAAAAAADgPwAAAAAAAOA/AAAAAAAA4D8AAAAAAADgPwAAAAAAAOA/AAAAAAAA4D8CAAAAjAAAAAAAAAAAAAAA////AAAAAAAAAAAAAAAAAAAAAAAAAAAAAAAAAAAAAAAAAAAAZAAAAAEAAABAAAAAAAAAAAAAAAAAAAAAAAAAAAAAAAAAAAAAAAAAAAAAAAAAAAAAAAAAAAAAAAAAAAAAAAAAAAAAAAAAAAAAAAAAAAAAAAAAAAAAAAAAAAAAAAAAAAAAFAAAADwAAAABAAAAAAAAAAAAAAAPAAAAAQAAACMAAAAjAAAAIwAAAB4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BcAAAAUAAAAAAAAAAAAAAD/fwAA/38AAAAAAAAJAAAABAAAAAAAAAAMAAAAEAAAAAAAAAAAAAAAAAAAAAAAAAAeAAAAaAAAAAAAAAAAAAAAAAAAAAAAAAAAAAAAECcAABAnAAAAAAAAAAAAAAAAAAAAAAAAAAAAAAAAAAAAAAAAAAAAABQAAAAAAAAAwMD/AAAAAABkAAAAMgAAAAAAAABkAAAAAAAAAH9/fwAKAAAAIQAAAC4AAAAqAAAAngAAAAAAAAAAAMgABgEAABEAAAA7AKgDcAAAAOexAAC+VQAAzncAAAAA"/>
            </a:ext>
          </a:extLst>
        </xdr:cNvSpPr>
      </xdr:nvSpPr>
      <xdr:spPr>
        <a:xfrm>
          <a:off x="25400" y="29838276"/>
          <a:ext cx="14135848" cy="19752236"/>
        </a:xfrm>
        <a:prstGeom prst="rect">
          <a:avLst/>
        </a:prstGeom>
        <a:noFill/>
        <a:ln w="9525" cap="flat">
          <a:solidFill>
            <a:srgbClr val="000000"/>
          </a:solidFill>
          <a:prstDash val="solid"/>
          <a:miter lim="800000"/>
          <a:headEnd type="none" w="med" len="med"/>
          <a:tailEnd type="none" w="med" len="med"/>
        </a:ln>
        <a:effectLst/>
      </xdr:spPr>
      <xdr:txBody>
        <a:bodyPr spcFirstLastPara="1" vertOverflow="clip" horzOverflow="clip" wrap="square" lIns="27305" tIns="22860" rIns="0" bIns="0" anchor="t"/>
        <a:lstStyle/>
        <a:p>
          <a:pPr algn="l" defTabSz="360045" rtl="0">
            <a:defRPr sz="1000"/>
          </a:pPr>
          <a:endParaRPr lang="en-GB" sz="1200">
            <a:latin typeface="Times New Roman" pitchFamily="18" charset="0"/>
            <a:ea typeface="+mn-ea"/>
            <a:cs typeface="Times New Roman" pitchFamily="18" charset="0"/>
          </a:endParaRPr>
        </a:p>
        <a:p>
          <a:pPr marL="0" marR="0" indent="0" algn="l" defTabSz="360045" rtl="0" eaLnBrk="1" fontAlgn="auto" latinLnBrk="0" hangingPunct="1">
            <a:lnSpc>
              <a:spcPct val="100000"/>
            </a:lnSpc>
            <a:spcBef>
              <a:spcPts val="0"/>
            </a:spcBef>
            <a:spcAft>
              <a:spcPts val="0"/>
            </a:spcAft>
            <a:buClrTx/>
            <a:buSzTx/>
            <a:buFontTx/>
            <a:buNone/>
            <a:tabLst/>
            <a:defRPr sz="1000"/>
          </a:pPr>
          <a:r>
            <a:rPr lang="en-GB" sz="1200">
              <a:latin typeface="Times New Roman" pitchFamily="18" charset="0"/>
              <a:ea typeface="+mn-ea"/>
              <a:cs typeface="Times New Roman" pitchFamily="18" charset="0"/>
            </a:rPr>
            <a:t>2 litre</a:t>
          </a:r>
          <a:r>
            <a:rPr lang="en-GB" sz="1200" baseline="0">
              <a:latin typeface="Times New Roman" pitchFamily="18" charset="0"/>
              <a:ea typeface="+mn-ea"/>
              <a:cs typeface="Times New Roman" pitchFamily="18" charset="0"/>
            </a:rPr>
            <a:t> </a:t>
          </a:r>
          <a:r>
            <a:rPr lang="en-GB" sz="1200">
              <a:latin typeface="Times New Roman" pitchFamily="18" charset="0"/>
              <a:ea typeface="+mn-ea"/>
              <a:cs typeface="Times New Roman" pitchFamily="18" charset="0"/>
            </a:rPr>
            <a:t>Sainsbury’s apple juice (10.2g sugar/100ml) </a:t>
          </a:r>
          <a:r>
            <a:rPr lang="en-GB" sz="1200" b="0" i="0" baseline="0">
              <a:latin typeface="Times New Roman" pitchFamily="18" charset="0"/>
              <a:ea typeface="+mn-ea"/>
              <a:cs typeface="Times New Roman" pitchFamily="18" charset="0"/>
            </a:rPr>
            <a:t>(cell F117)</a:t>
          </a:r>
          <a:endParaRPr lang="en-GB" sz="1200">
            <a:latin typeface="Times New Roman" pitchFamily="18" charset="0"/>
            <a:cs typeface="Times New Roman" pitchFamily="18" charset="0"/>
          </a:endParaRPr>
        </a:p>
        <a:p>
          <a:pPr marL="0" marR="0" indent="0" algn="l" defTabSz="360045" rtl="0" eaLnBrk="1" fontAlgn="auto" latinLnBrk="0" hangingPunct="1">
            <a:lnSpc>
              <a:spcPct val="100000"/>
            </a:lnSpc>
            <a:spcBef>
              <a:spcPts val="0"/>
            </a:spcBef>
            <a:spcAft>
              <a:spcPts val="0"/>
            </a:spcAft>
            <a:buClrTx/>
            <a:buSzTx/>
            <a:buFontTx/>
            <a:buNone/>
            <a:tabLst/>
            <a:defRPr sz="1000"/>
          </a:pPr>
          <a:r>
            <a:rPr lang="en-GB" sz="1200" b="0" i="0" baseline="0">
              <a:latin typeface="Times New Roman" pitchFamily="18" charset="0"/>
              <a:ea typeface="+mn-ea"/>
              <a:cs typeface="Times New Roman" pitchFamily="18" charset="0"/>
            </a:rPr>
            <a:t>1 litre </a:t>
          </a:r>
          <a:r>
            <a:rPr lang="en-GB" sz="1200" baseline="0">
              <a:latin typeface="Times New Roman" pitchFamily="18" charset="0"/>
              <a:ea typeface="+mn-ea"/>
              <a:cs typeface="Times New Roman" pitchFamily="18" charset="0"/>
            </a:rPr>
            <a:t> </a:t>
          </a:r>
          <a:r>
            <a:rPr lang="en-GB" sz="1200">
              <a:latin typeface="Times New Roman" pitchFamily="18" charset="0"/>
              <a:ea typeface="+mn-ea"/>
              <a:cs typeface="Times New Roman" pitchFamily="18" charset="0"/>
            </a:rPr>
            <a:t>Sainsbury’s </a:t>
          </a:r>
          <a:r>
            <a:rPr lang="en-GB" sz="1200" b="0" i="0" baseline="0">
              <a:latin typeface="Times New Roman" pitchFamily="18" charset="0"/>
              <a:ea typeface="+mn-ea"/>
              <a:cs typeface="Times New Roman" pitchFamily="18" charset="0"/>
            </a:rPr>
            <a:t>red grape juice (15.3g sugar/100ml) (cell F120) </a:t>
          </a:r>
          <a:endParaRPr lang="en-GB" sz="1200">
            <a:latin typeface="Times New Roman" pitchFamily="18" charset="0"/>
            <a:cs typeface="Times New Roman" pitchFamily="18" charset="0"/>
          </a:endParaRPr>
        </a:p>
        <a:p>
          <a:pPr algn="l" defTabSz="360045" rtl="0">
            <a:defRPr sz="1000"/>
          </a:pPr>
          <a:r>
            <a:rPr lang="en-GB" sz="1200" b="0" i="0" u="none" strike="noStrike" kern="100" baseline="0">
              <a:solidFill>
                <a:srgbClr val="000000"/>
              </a:solidFill>
              <a:latin typeface="Times New Roman" pitchFamily="18" charset="0"/>
              <a:ea typeface="Times New Roman" pitchFamily="1" charset="0"/>
              <a:cs typeface="Times New Roman" pitchFamily="18" charset="0"/>
            </a:rPr>
            <a:t>600g sugar dissolved in 400ml hot water to make approx. 750ml syrup (cell L13)</a:t>
          </a:r>
        </a:p>
        <a:p>
          <a:pPr algn="l" defTabSz="360045" rtl="0">
            <a:defRPr sz="1000"/>
          </a:pPr>
          <a:r>
            <a:rPr lang="en-GB" sz="1200" b="0" i="0" u="none" strike="noStrike" kern="100" baseline="0">
              <a:solidFill>
                <a:srgbClr val="000000"/>
              </a:solidFill>
              <a:latin typeface="Times New Roman" pitchFamily="18" charset="0"/>
              <a:ea typeface="Arial" pitchFamily="2" charset="0"/>
              <a:cs typeface="Times New Roman" pitchFamily="18" charset="0"/>
            </a:rPr>
            <a:t>1 level 5ml tsp </a:t>
          </a:r>
          <a:r>
            <a:rPr lang="en-GB" sz="1200" b="0" i="0" u="none" strike="noStrike" kern="100" baseline="0">
              <a:solidFill>
                <a:srgbClr val="000000"/>
              </a:solidFill>
              <a:latin typeface="Times New Roman" pitchFamily="18" charset="0"/>
              <a:ea typeface="Times New Roman" pitchFamily="1" charset="0"/>
              <a:cs typeface="Times New Roman" pitchFamily="18" charset="0"/>
            </a:rPr>
            <a:t>Pectic enzyme </a:t>
          </a:r>
          <a:r>
            <a:rPr lang="en-GB" sz="1200" b="0" i="0" u="none" strike="noStrike" kern="100" baseline="0">
              <a:solidFill>
                <a:srgbClr val="000000"/>
              </a:solidFill>
              <a:latin typeface="Times New Roman" pitchFamily="18" charset="0"/>
              <a:ea typeface="Arial" pitchFamily="2" charset="0"/>
              <a:cs typeface="Times New Roman" pitchFamily="18" charset="0"/>
            </a:rPr>
            <a:t>(cell M25)</a:t>
          </a:r>
        </a:p>
        <a:p>
          <a:pPr algn="l" defTabSz="360045" rtl="0">
            <a:defRPr sz="1000"/>
          </a:pPr>
          <a:r>
            <a:rPr lang="en-GB" sz="1200" b="0" i="0" u="none" strike="noStrike" kern="100" baseline="0">
              <a:solidFill>
                <a:srgbClr val="000000"/>
              </a:solidFill>
              <a:latin typeface="Times New Roman" pitchFamily="18" charset="0"/>
              <a:ea typeface="Times New Roman" pitchFamily="1" charset="0"/>
              <a:cs typeface="Times New Roman" pitchFamily="18" charset="0"/>
            </a:rPr>
            <a:t>1 level 5ml tsp Bentonite (optional) </a:t>
          </a:r>
          <a:r>
            <a:rPr lang="en-GB" sz="1200" b="0" i="0" u="none" strike="noStrike" kern="100" baseline="0">
              <a:solidFill>
                <a:srgbClr val="000000"/>
              </a:solidFill>
              <a:latin typeface="Times New Roman" pitchFamily="18" charset="0"/>
              <a:ea typeface="Arial" pitchFamily="2" charset="0"/>
              <a:cs typeface="Times New Roman" pitchFamily="18" charset="0"/>
            </a:rPr>
            <a:t>(cell M26)</a:t>
          </a:r>
        </a:p>
        <a:p>
          <a:pPr algn="l" defTabSz="360045" rtl="0">
            <a:defRPr sz="1000"/>
          </a:pPr>
          <a:r>
            <a:rPr lang="en-GB" sz="1200" b="0" i="0" u="none" strike="noStrike" kern="100" baseline="0">
              <a:solidFill>
                <a:srgbClr val="000000"/>
              </a:solidFill>
              <a:latin typeface="Times New Roman" pitchFamily="18" charset="0"/>
              <a:ea typeface="Times New Roman" pitchFamily="1" charset="0"/>
              <a:cs typeface="Times New Roman" pitchFamily="18" charset="0"/>
            </a:rPr>
            <a:t>1 sachet wine yeast.</a:t>
          </a:r>
        </a:p>
        <a:p>
          <a:pPr algn="l" defTabSz="360045" rtl="0">
            <a:defRPr sz="1000"/>
          </a:pPr>
          <a:endParaRPr sz="1200">
            <a:latin typeface="Times New Roman" pitchFamily="18" charset="0"/>
            <a:cs typeface="Times New Roman" pitchFamily="18" charset="0"/>
          </a:endParaRPr>
        </a:p>
        <a:p>
          <a:pPr algn="l" defTabSz="360045" rtl="0">
            <a:defRPr sz="1000"/>
          </a:pPr>
          <a:r>
            <a:rPr lang="en-GB" sz="1200" b="0" i="0" u="none" strike="noStrike" kern="100" baseline="0">
              <a:solidFill>
                <a:srgbClr val="000000"/>
              </a:solidFill>
              <a:latin typeface="Times New Roman" pitchFamily="18" charset="0"/>
              <a:ea typeface="Times New Roman" pitchFamily="1" charset="0"/>
              <a:cs typeface="Times New Roman" pitchFamily="18" charset="0"/>
            </a:rPr>
            <a:t>1). Add a sachet of yeast into a glass containing about 30mm of warm orange juice or other juice. Cover.</a:t>
          </a:r>
        </a:p>
        <a:p>
          <a:pPr algn="l" defTabSz="360045" rtl="0">
            <a:defRPr sz="1000"/>
          </a:pPr>
          <a:r>
            <a:rPr lang="en-GB" sz="1200" b="0" i="0" u="none" strike="noStrike" kern="100" baseline="0">
              <a:solidFill>
                <a:srgbClr val="000000"/>
              </a:solidFill>
              <a:latin typeface="Times New Roman" pitchFamily="18" charset="0"/>
              <a:ea typeface="Times New Roman" pitchFamily="1" charset="0"/>
              <a:cs typeface="Times New Roman" pitchFamily="18" charset="0"/>
            </a:rPr>
            <a:t>2). Put 600g of sugar into a pan (min. size 1 litre or more), add about 400ml cold water (cell M13). Heat the pan, stirring often, until the sugar dissolves, DO NOT BOIL. Remove the heat.</a:t>
          </a:r>
        </a:p>
        <a:p>
          <a:pPr algn="l" defTabSz="360045" rtl="0">
            <a:defRPr sz="1000"/>
          </a:pPr>
          <a:r>
            <a:rPr lang="en-GB" sz="1200" b="0" i="0" u="none" strike="noStrike" kern="100" baseline="0">
              <a:solidFill>
                <a:srgbClr val="000000"/>
              </a:solidFill>
              <a:latin typeface="Times New Roman" pitchFamily="18" charset="0"/>
              <a:ea typeface="Times New Roman" pitchFamily="1" charset="0"/>
              <a:cs typeface="Times New Roman" pitchFamily="18" charset="0"/>
            </a:rPr>
            <a:t>3). Add the apple juice &amp; ½ tsp (cell M25) of enzyme to the demijohn then add the cooled syrup, make up to about 3.5 litres with cold tap water, stir &amp; add the yeast.</a:t>
          </a:r>
        </a:p>
        <a:p>
          <a:pPr rtl="0"/>
          <a:r>
            <a:rPr lang="en-GB" sz="1200" b="0" i="0" baseline="0">
              <a:latin typeface="Times New Roman" pitchFamily="18" charset="0"/>
              <a:ea typeface="+mn-ea"/>
              <a:cs typeface="Times New Roman" pitchFamily="18" charset="0"/>
            </a:rPr>
            <a:t>4). Fit an airlock &amp; place somewhere warm &amp; dim, but not in an airing cupboard.</a:t>
          </a:r>
          <a:endParaRPr lang="en-GB" sz="1200">
            <a:latin typeface="Times New Roman" pitchFamily="18" charset="0"/>
            <a:ea typeface="+mn-ea"/>
            <a:cs typeface="Times New Roman" pitchFamily="18" charset="0"/>
          </a:endParaRPr>
        </a:p>
        <a:p>
          <a:pPr rtl="0"/>
          <a:r>
            <a:rPr lang="en-GB" sz="1200" b="0" i="0" baseline="0">
              <a:latin typeface="Times New Roman" pitchFamily="18" charset="0"/>
              <a:ea typeface="+mn-ea"/>
              <a:cs typeface="Times New Roman" pitchFamily="18" charset="0"/>
            </a:rPr>
            <a:t>5). When the gravity falls to less than about 1005-15, add the grape juice, a "touch" of enzyme &amp; the Bentonite, re-fit the airlock. </a:t>
          </a:r>
          <a:endParaRPr lang="en-GB" sz="1200">
            <a:latin typeface="Times New Roman" pitchFamily="18" charset="0"/>
            <a:ea typeface="+mn-ea"/>
            <a:cs typeface="Times New Roman" pitchFamily="18" charset="0"/>
          </a:endParaRPr>
        </a:p>
        <a:p>
          <a:pPr rtl="0"/>
          <a:r>
            <a:rPr lang="en-GB" sz="1200" b="0" i="0" baseline="0">
              <a:latin typeface="Times New Roman" pitchFamily="18" charset="0"/>
              <a:ea typeface="+mn-ea"/>
              <a:cs typeface="Times New Roman" pitchFamily="18" charset="0"/>
            </a:rPr>
            <a:t>6). When the airlock bubbles at less than 1 per minute &amp; the wine possibly starts clearing (forming “bands”), the fermentation is affectively over, if you have a hydrometer, the reading should be about 994 (cell E5). </a:t>
          </a:r>
          <a:endParaRPr lang="en-GB" sz="1200">
            <a:latin typeface="Times New Roman" pitchFamily="18" charset="0"/>
            <a:ea typeface="+mn-ea"/>
            <a:cs typeface="Times New Roman" pitchFamily="18" charset="0"/>
          </a:endParaRPr>
        </a:p>
        <a:p>
          <a:pPr rtl="0"/>
          <a:r>
            <a:rPr lang="en-GB" sz="1200" b="0" i="0" baseline="0">
              <a:latin typeface="Times New Roman" pitchFamily="18" charset="0"/>
              <a:ea typeface="+mn-ea"/>
              <a:cs typeface="Times New Roman" pitchFamily="18" charset="0"/>
            </a:rPr>
            <a:t>7). Fine the wine, leave for about a week, the wine should be crystal-clear. </a:t>
          </a:r>
          <a:endParaRPr lang="en-GB" sz="1200">
            <a:latin typeface="Times New Roman" pitchFamily="18" charset="0"/>
            <a:ea typeface="+mn-ea"/>
            <a:cs typeface="Times New Roman" pitchFamily="18" charset="0"/>
          </a:endParaRPr>
        </a:p>
        <a:p>
          <a:pPr rtl="0"/>
          <a:r>
            <a:rPr lang="en-GB" sz="1200" b="0" i="0" baseline="0">
              <a:latin typeface="Times New Roman" pitchFamily="18" charset="0"/>
              <a:ea typeface="+mn-ea"/>
              <a:cs typeface="Times New Roman" pitchFamily="18" charset="0"/>
            </a:rPr>
            <a:t>8). Rack into a sterile demijohn, top-up just over 4.5 litres, add a crushed Campden tablet &amp; “gently swirl in”, Do not degas as it could lead to oxidization &amp; possible infection. Cover the demi. with Clingfilm, secured by a rubber band &amp; bulk mature in a cool dim place (not the ‘fridge) for 3 month min. (Note that different wines have different maturing times.)</a:t>
          </a:r>
          <a:endParaRPr lang="en-GB" sz="1200">
            <a:latin typeface="Times New Roman" pitchFamily="18" charset="0"/>
            <a:ea typeface="+mn-ea"/>
            <a:cs typeface="Times New Roman" pitchFamily="18" charset="0"/>
          </a:endParaRPr>
        </a:p>
        <a:p>
          <a:pPr rtl="0"/>
          <a:r>
            <a:rPr lang="en-GB" sz="1200" b="0" i="0" baseline="0">
              <a:latin typeface="Times New Roman" pitchFamily="18" charset="0"/>
              <a:ea typeface="+mn-ea"/>
              <a:cs typeface="Times New Roman" pitchFamily="18" charset="0"/>
            </a:rPr>
            <a:t>9). Bottle, wait a couple of weeks before trying.</a:t>
          </a:r>
          <a:endParaRPr lang="en-GB" sz="1200">
            <a:latin typeface="Times New Roman" pitchFamily="18" charset="0"/>
            <a:ea typeface="+mn-ea"/>
            <a:cs typeface="Times New Roman" pitchFamily="18" charset="0"/>
          </a:endParaRPr>
        </a:p>
        <a:p>
          <a:pPr algn="l" defTabSz="360045" rtl="0">
            <a:defRPr sz="1000"/>
          </a:pPr>
          <a:endParaRPr lang="en-GB" sz="1200" b="0" i="0" u="none" strike="noStrike" kern="100" baseline="0">
            <a:solidFill>
              <a:srgbClr val="000000"/>
            </a:solidFill>
            <a:latin typeface="Times New Roman" pitchFamily="18" charset="0"/>
            <a:ea typeface="Times New Roman" pitchFamily="1" charset="0"/>
            <a:cs typeface="Times New Roman" pitchFamily="18" charset="0"/>
          </a:endParaRPr>
        </a:p>
      </xdr:txBody>
    </xdr:sp>
    <xdr:clientData fLocksWithSheet="0"/>
  </xdr:twoCellAnchor>
  <xdr:twoCellAnchor>
    <xdr:from>
      <xdr:col>15</xdr:col>
      <xdr:colOff>170180</xdr:colOff>
      <xdr:row>2</xdr:row>
      <xdr:rowOff>175260</xdr:rowOff>
    </xdr:from>
    <xdr:to>
      <xdr:col>15</xdr:col>
      <xdr:colOff>688340</xdr:colOff>
      <xdr:row>4</xdr:row>
      <xdr:rowOff>11430</xdr:rowOff>
    </xdr:to>
    <xdr:pic>
      <xdr:nvPicPr>
        <xdr:cNvPr id="7" name="Picture 17661" descr="Untitled-1 copy"/>
        <xdr:cNvPicPr>
          <a:picLocks noChangeAspect="1"/>
          <a:extLst>
            <a:ext uri="smNativeData">
              <pm:smNativeData xmlns="" xmlns:pm="pm" val="SMDATA_12_SWiLXRMAAAAlAAAAEQAAAK0AAAAAkAAAAEgAAACQAAAASAAAAAAAAAAAAAAAAAAAAAEAAABQAAAAAAAAAAAA4D8AAAAAAADgPwAAAAAAAOA/AAAAAAAA4D8AAAAAAADgPwAAAAAAAOA/AAAAAAAA4D8AAAAAAADgPwAAAAAAAOA/AAAAAAAA4D8CAAAAjAAAAAAAAAAAAAAA////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EAAAAXAAAAFAAAAAAAAAAAAAAA/38AAP9/AAAAAAAACQAAAAQAAAAAAAAADAAAABAAAAAAAAAAAAAAAAAAAAAAAAAAHgAAAGgAAAAAAAAAAAAAAAAAAAAAAAAAAAAAABAnAAAQJwAAAAAAAAAAAAAAAAAAAAAAAAAAAAAAAAAAAAAAAAAAAAAUAAAAAAAAAMDA/wAAAAAAZAAAADIAAAAAAAAAZAAAAAAAAAB/f38ACgAAACEAAAAuAAAAKgAAAAIAAAAPAAAAyAPqAAQAAAAPAAAAPwCyA+BJAAAnAwAAMAMAAEkBAAAAAA=="/>
            </a:ext>
          </a:extLst>
        </xdr:cNvPicPr>
      </xdr:nvPicPr>
      <xdr:blipFill>
        <a:blip xmlns:r="http://schemas.openxmlformats.org/officeDocument/2006/relationships" r:embed="rId1" cstate="print"/>
        <a:stretch>
          <a:fillRect/>
        </a:stretch>
      </xdr:blipFill>
      <xdr:spPr>
        <a:xfrm>
          <a:off x="12009120" y="512445"/>
          <a:ext cx="518160" cy="208915"/>
        </a:xfrm>
        <a:prstGeom prst="rect">
          <a:avLst/>
        </a:prstGeom>
        <a:noFill/>
        <a:ln w="12700" cap="flat">
          <a:noFill/>
          <a:prstDash val="solid"/>
          <a:miter lim="800000"/>
          <a:headEnd type="none" w="med" len="med"/>
          <a:tailEnd type="none" w="med" len="med"/>
        </a:ln>
        <a:effectLst/>
      </xdr:spPr>
    </xdr:pic>
    <xdr:clientData/>
  </xdr:twoCellAnchor>
  <xdr:twoCellAnchor>
    <xdr:from>
      <xdr:col>18</xdr:col>
      <xdr:colOff>676910</xdr:colOff>
      <xdr:row>222</xdr:row>
      <xdr:rowOff>139700</xdr:rowOff>
    </xdr:from>
    <xdr:to>
      <xdr:col>23</xdr:col>
      <xdr:colOff>44450</xdr:colOff>
      <xdr:row>234</xdr:row>
      <xdr:rowOff>121920</xdr:rowOff>
    </xdr:to>
    <xdr:pic>
      <xdr:nvPicPr>
        <xdr:cNvPr id="6" name="Picture 3" descr="Image result for do not enter">
          <a:hlinkClick xmlns:r="http://schemas.openxmlformats.org/officeDocument/2006/relationships" r:id="rId2"/>
        </xdr:cNvPr>
        <xdr:cNvPicPr>
          <a:picLocks noChangeAspect="1"/>
          <a:extLst>
            <a:ext uri="smNativeData">
              <pm:smNativeData xmlns="" xmlns:pm="pm" val="SMDATA_12_SWiLXRMAAAAlAAAAEQAAAK0AAAAAkAAAAEgAAACQAAAASAAAAAAAAAAAAAAAAAAAAAEAAABQAAAAAAAAAAAA4D8AAAAAAADgPwAAAAAAAOA/AAAAAAAA4D8AAAAAAADgPwAAAAAAAOA/AAAAAAAA4D8AAAAAAADgPwAAAAAAAOA/AAAAAAAA4D8CAAAAjAAAAAAAAAAAAAAA////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WAEAAGcBAAC1AQAAtwIAAAAAAABkAAAAZAAAAAEAAAAXAAAAFAAAAAAAAAAAAAAA/38AAP9/AAAAAAAACQAAAAQAAABmC9IADAAAABAAAAAAAAAAAAAAAAAAAAAAAAAAHgAAAGgAAAAAAAAAAAAAAAAAAAAAAAAAAAAAABAnAAAQJwAAAAAAAAAAAAAAAAAAAAAAAAAAAAAAAAAAAAAAAAAAAAAUAAAAAAAAAMDA/wAAAAAAZAAAADIAAAAAAAAAZAAAAAAAAAB/f38ACgAAACEAAAAuAAAAKgAAAN8AAAASAAAABAOjA+sAAAAXAAAAoALrAL1aAAAE/gAA+RIAAJQNAAAAAA=="/>
            </a:ext>
          </a:extLst>
        </xdr:cNvPicPr>
      </xdr:nvPicPr>
      <xdr:blipFill>
        <a:blip xmlns:r="http://schemas.openxmlformats.org/officeDocument/2006/relationships" r:embed="rId3" cstate="print"/>
        <a:srcRect l="3440" t="3590" r="4370" b="6950"/>
        <a:stretch>
          <a:fillRect/>
        </a:stretch>
      </xdr:blipFill>
      <xdr:spPr>
        <a:xfrm>
          <a:off x="14750415" y="41292780"/>
          <a:ext cx="3084195" cy="2207260"/>
        </a:xfrm>
        <a:prstGeom prst="rect">
          <a:avLst/>
        </a:prstGeom>
        <a:noFill/>
        <a:ln w="12700" cap="flat">
          <a:noFill/>
          <a:prstDash val="solid"/>
          <a:miter lim="800000"/>
          <a:headEnd type="none" w="med" len="med"/>
          <a:tailEnd type="none" w="med" len="med"/>
        </a:ln>
        <a:effectLst/>
      </xdr:spPr>
    </xdr:pic>
    <xdr:clientData/>
  </xdr:twoCellAnchor>
  <xdr:twoCellAnchor>
    <xdr:from>
      <xdr:col>17</xdr:col>
      <xdr:colOff>367030</xdr:colOff>
      <xdr:row>234</xdr:row>
      <xdr:rowOff>116205</xdr:rowOff>
    </xdr:from>
    <xdr:to>
      <xdr:col>20</xdr:col>
      <xdr:colOff>440690</xdr:colOff>
      <xdr:row>248</xdr:row>
      <xdr:rowOff>64770</xdr:rowOff>
    </xdr:to>
    <xdr:pic>
      <xdr:nvPicPr>
        <xdr:cNvPr id="5" name="Picture 5" descr="icon_red_arrow_flat_300x213.png"/>
        <xdr:cNvPicPr>
          <a:picLocks noChangeAspect="1"/>
          <a:extLst>
            <a:ext uri="smNativeData">
              <pm:smNativeData xmlns="" xmlns:pm="pm" val="SMDATA_12_SWiLXRMAAAAlAAAAEQAAAK0AAAAAkAAAAEgAAACQAAAASAAAAAAAAAAAAAAAAAAAAAEAAABQAAAAAAAAAAAA4D8AAAAAAADgPwAAAAAAAOA/AAAAAAAA4D8AAAAAAADgPwAAAAAAAOA/AAAAAAAA4D8AAAAAAADgPwAAAAAAAOA/AAAAAAAA4D8CAAAAjAAAAAAAAAAAAAAA////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EAAAAXAAAAFAAAAAAAAAAAAAAA/38AAP9/AAAAAAAACQAAAAQAAAAAAAAADAAAABAAAAAAAAAAAAAAAAAAAAAAAAAAHgAAAGgAAAAAAAAAAAAAAAAAAAAAAAAAAAAAABAnAAAQJwAAAAAAAAAAAAAAAAAAAAAAAAAAAAAAAAAAAAAAAAAAAAAUAAAAAAAAAMDA/wAAAAAAZAAAADIAAAAAAAAAZAAAAAAAAAB/f38ACgAAACEAAAAuAAAAKgAAAOsAAAARAAAAggL5AfkAAAAUAAAAZAFeAkBUAACPCwEAMw4AAKcPAAAAAA=="/>
            </a:ext>
          </a:extLst>
        </xdr:cNvPicPr>
      </xdr:nvPicPr>
      <xdr:blipFill>
        <a:blip xmlns:r="http://schemas.openxmlformats.org/officeDocument/2006/relationships" r:embed="rId4" cstate="print"/>
        <a:stretch>
          <a:fillRect/>
        </a:stretch>
      </xdr:blipFill>
      <xdr:spPr>
        <a:xfrm rot="267268">
          <a:off x="13695680" y="43494325"/>
          <a:ext cx="2308225" cy="2544445"/>
        </a:xfrm>
        <a:prstGeom prst="rect">
          <a:avLst/>
        </a:prstGeom>
        <a:noFill/>
        <a:ln w="9525" cap="flat">
          <a:noFill/>
          <a:prstDash val="solid"/>
          <a:miter lim="800000"/>
          <a:headEnd type="none" w="med" len="med"/>
          <a:tailEnd type="none" w="med" len="med"/>
        </a:ln>
        <a:effectLst/>
      </xdr:spPr>
    </xdr:pic>
    <xdr:clientData/>
  </xdr:twoCellAnchor>
  <xdr:twoCellAnchor>
    <xdr:from>
      <xdr:col>0</xdr:col>
      <xdr:colOff>60960</xdr:colOff>
      <xdr:row>265</xdr:row>
      <xdr:rowOff>168910</xdr:rowOff>
    </xdr:from>
    <xdr:to>
      <xdr:col>22</xdr:col>
      <xdr:colOff>711200</xdr:colOff>
      <xdr:row>289</xdr:row>
      <xdr:rowOff>139700</xdr:rowOff>
    </xdr:to>
    <xdr:pic>
      <xdr:nvPicPr>
        <xdr:cNvPr id="4" name="Picture 635" descr="Signature Wines' News and Events">
          <a:hlinkClick xmlns:r="http://schemas.openxmlformats.org/officeDocument/2006/relationships" r:id="rId5"/>
        </xdr:cNvPr>
        <xdr:cNvPicPr>
          <a:picLocks noChangeAspect="1"/>
          <a:extLst>
            <a:ext uri="smNativeData">
              <pm:smNativeData xmlns="" xmlns:pm="pm" val="SMDATA_12_SWiLXRMAAAAlAAAAEQAAAK0AAAAAkAAAAEgAAACQAAAASAAAAAAAAAAAAAAAAAAAAAEAAABQAAAAAAAAAAAA4D8AAAAAAADgPwAAAAAAAOA/AAAAAAAA4D8AAAAAAADgPwAAAAAAAOA/AAAAAAAA4D8AAAAAAADgPwAAAAAAAOA/AAAAAAAA4D8CAAAAjAAAAAAAAAAAAAAA////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EAAAAXAAAAFAAAAAAAAAAAAAAA/38AAP9/AAAAAAAACQAAAAQAAABmC9IADAAAABAAAAAAAAAAAAAAAAAAAAAAAAAAHgAAAGgAAAAAAAAAAAAAAAAAAAAAAAAAAAAAABAnAAAQJwAAAAAAAAAAAAAAAAAAAAAAAAAAAAAAAAAAAAAAAAAAAAAUAAAAAAAAAMDA/wAAAAAAZAAAADIAAAAAAAAAZAAAAAAAAAB/f38ACgAAACEAAAAuAAAAKgAAAAYBAAAAAAAAjQKrACUBAAAbAAAA3wKfAmAAAABeKgEAsW4AAHQjAAAAAA=="/>
            </a:ext>
          </a:extLst>
        </xdr:cNvPicPr>
      </xdr:nvPicPr>
      <xdr:blipFill>
        <a:blip xmlns:r="http://schemas.openxmlformats.org/officeDocument/2006/relationships" r:embed="rId6" cstate="print"/>
        <a:stretch>
          <a:fillRect/>
        </a:stretch>
      </xdr:blipFill>
      <xdr:spPr>
        <a:xfrm>
          <a:off x="60960" y="49813210"/>
          <a:ext cx="17109440" cy="4542790"/>
        </a:xfrm>
        <a:prstGeom prst="rect">
          <a:avLst/>
        </a:prstGeom>
        <a:noFill/>
        <a:ln w="12700" cap="flat">
          <a:noFill/>
          <a:prstDash val="solid"/>
          <a:miter lim="800000"/>
          <a:headEnd type="none" w="med" len="med"/>
          <a:tailEnd type="none" w="med" len="med"/>
        </a:ln>
        <a:effectLst/>
      </xdr:spPr>
    </xdr:pic>
    <xdr:clientData/>
  </xdr:twoCellAnchor>
  <xdr:twoCellAnchor>
    <xdr:from>
      <xdr:col>18</xdr:col>
      <xdr:colOff>12700</xdr:colOff>
      <xdr:row>255</xdr:row>
      <xdr:rowOff>19685</xdr:rowOff>
    </xdr:from>
    <xdr:to>
      <xdr:col>23</xdr:col>
      <xdr:colOff>114300</xdr:colOff>
      <xdr:row>261</xdr:row>
      <xdr:rowOff>170815</xdr:rowOff>
    </xdr:to>
    <xdr:pic>
      <xdr:nvPicPr>
        <xdr:cNvPr id="3" name="Picture 44" descr="YBwine">
          <a:hlinkClick xmlns:r="http://schemas.openxmlformats.org/officeDocument/2006/relationships" r:id="rId7"/>
        </xdr:cNvPr>
        <xdr:cNvPicPr>
          <a:picLocks noChangeAspect="1"/>
          <a:extLst>
            <a:ext uri="smNativeData">
              <pm:smNativeData xmlns="" xmlns:pm="pm" val="SMDATA_12_SWiLXRMAAAAlAAAAEQAAAK0AAAAAkAAAAEgAAACQAAAASAAAAAAAAAAAAAAAAAAAAAEAAABQAAAAAAAAAAAA4D8AAAAAAADgPwAAAAAAAOA/AAAAAAAA4D8AAAAAAADgPwAAAAAAAOA/AAAAAAAA4D8AAAAAAADgPwAAAAAAAOA/AAAAAAAA4D8CAAAAjAAAAAAAAAAAAAAA////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EAAAAXAAAAFAAAAAAAAAAAAAAA/38AAP9/AAAAAAAACQAAAAQAAAAAAAAADAAAABAAAAAAAAAAAAAAAAAAAAAAAAAAHgAAAGgAAAAAAAAAAAAAAAAAAAAAAAAAAAAAABAnAAAQJwAAAAAAAAAAAAAAAAAAAAAAAAAAAAAAAAAAAAAAAAAAAAAUAAAAAAAAAMDA/wAAAAAAZAAAADIAAAAAAAAAZAAAAAAAAAB/f38ACgAAACEAAAAuAAAAKgAAAP8AAAARAAAAKQO1AwYBAAAbAAAAUgLfAT1WAACPIgEAtBgAAL4HAAAAAA=="/>
            </a:ext>
          </a:extLst>
        </xdr:cNvPicPr>
      </xdr:nvPicPr>
      <xdr:blipFill>
        <a:blip xmlns:r="http://schemas.openxmlformats.org/officeDocument/2006/relationships" r:embed="rId8" cstate="print"/>
        <a:stretch>
          <a:fillRect/>
        </a:stretch>
      </xdr:blipFill>
      <xdr:spPr>
        <a:xfrm>
          <a:off x="14109700" y="47835185"/>
          <a:ext cx="3975100" cy="1268730"/>
        </a:xfrm>
        <a:prstGeom prst="rect">
          <a:avLst/>
        </a:prstGeom>
        <a:noFill/>
        <a:ln w="12700" cap="flat">
          <a:noFill/>
          <a:prstDash val="solid"/>
          <a:miter lim="800000"/>
          <a:headEnd type="none" w="med" len="med"/>
          <a:tailEnd type="none" w="med" len="med"/>
        </a:ln>
        <a:effectLst/>
      </xdr:spPr>
    </xdr:pic>
    <xdr:clientData/>
  </xdr:twoCellAnchor>
  <xdr:twoCellAnchor>
    <xdr:from>
      <xdr:col>0</xdr:col>
      <xdr:colOff>340766</xdr:colOff>
      <xdr:row>0</xdr:row>
      <xdr:rowOff>161353</xdr:rowOff>
    </xdr:from>
    <xdr:to>
      <xdr:col>2</xdr:col>
      <xdr:colOff>354869</xdr:colOff>
      <xdr:row>8</xdr:row>
      <xdr:rowOff>151909</xdr:rowOff>
    </xdr:to>
    <xdr:pic>
      <xdr:nvPicPr>
        <xdr:cNvPr id="2" name="Picture 8" descr="C:\Users\Peter\OneDrive\Documents\Desktop\fff.jpg"/>
        <xdr:cNvPicPr>
          <a:extLst>
            <a:ext uri="smNativeData">
              <pm:smNativeData xmlns="" xmlns:pm="pm" val="SMDATA_12_SWiLXRMAAAAlAAAAEQAAAI0AAAAAkAAAAEgAAACQAAAASAAAAAAAAAAAAAAAAAAAAAEAAABQAAAAAAAAAAAA4D8AAAAAAADgPwAAAAAAAOA/AAAAAAAA4D8AAAAAAADgPwAAAAAAAOA/AAAAAAAA4D8AAAAAAADgPwAAAAAAAOA/AAAAAAAA4D8CAAAAjAAAAAAAAAAAAAAA////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XAAAAFAAAAAAAAAAAAAAA/38AAP9/AAAAAAAACQAAAAQAAABmC9IADAAAABAAAAAAAAAAAAAAAAAAAAAAAAAAHgAAAGgAAAAAAAAAAAAAAAAAAAAAAAAAAAAAABAnAAAQJwAAAAAAAAAAAAAAAAAAAAAAAAAAAAAAAAAAAAAAAAAAAAAUAAAAAAAAAMDA/wAAAAAAZAAAADIAAAAAAAAAZAAAAAAAAAB/f38ACgAAACEAAAAuAAAAKgAAAAAAAAABAAAA4QOvAAgAAAACAAAAjQP3AZ4CAAAAAQAAsgMAANkIAAAAAA=="/>
            </a:ext>
          </a:extLst>
        </xdr:cNvPicPr>
      </xdr:nvPicPr>
      <xdr:blipFill>
        <a:blip xmlns:r="http://schemas.openxmlformats.org/officeDocument/2006/relationships" r:embed="rId9" cstate="print"/>
        <a:stretch>
          <a:fillRect/>
        </a:stretch>
      </xdr:blipFill>
      <xdr:spPr>
        <a:xfrm>
          <a:off x="340766" y="161353"/>
          <a:ext cx="712056" cy="1501418"/>
        </a:xfrm>
        <a:prstGeom prst="rect">
          <a:avLst/>
        </a:prstGeom>
        <a:noFill/>
        <a:ln w="12700" cap="flat">
          <a:noFill/>
          <a:prstDash val="solid"/>
          <a:miter lim="800000"/>
          <a:headEnd type="none" w="med" len="med"/>
          <a:tailEnd type="none" w="med" len="med"/>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109117</xdr:colOff>
      <xdr:row>38</xdr:row>
      <xdr:rowOff>18661</xdr:rowOff>
    </xdr:from>
    <xdr:to>
      <xdr:col>9</xdr:col>
      <xdr:colOff>0</xdr:colOff>
      <xdr:row>51</xdr:row>
      <xdr:rowOff>184668</xdr:rowOff>
    </xdr:to>
    <xdr:sp macro="" textlink="">
      <xdr:nvSpPr>
        <xdr:cNvPr id="2" name="TextBox 2">
          <a:extLst>
            <a:ext uri="{FF2B5EF4-FFF2-40B4-BE49-F238E27FC236}">
              <a16:creationId xmlns:a16="http://schemas.microsoft.com/office/drawing/2014/main" xmlns="" id="{37D23896-1D69-485E-96FF-D39C23614836}"/>
            </a:ext>
          </a:extLst>
        </xdr:cNvPr>
        <xdr:cNvSpPr>
          <a:extLst>
            <a:ext uri="smNativeData">
              <pm:smNativeData xmlns="" xmlns:pm="pm" val="SMDATA_11_SWiLXRMAAAAlAAAAZAAAAI0AAAAAOgAAADIAAAAAAAAAAAAAAAAAAAAAAAAAAAAAAAEAAABQAAAAAAAAAAAA4D8AAAAAAADgPwAAAAAAAOA/AAAAAAAA4D8AAAAAAADgPwAAAAAAAOA/AAAAAAAA4D8AAAAAAADgPwAAAAAAAOA/AAAAAAAA4D8CAAAAjAAAAAAAAAAAAAAA////AAAAAAAAAAAAAAAAAAAAAAAAAAAAAAAAAAAAAAAAAAAAZAAAAAEAAABAAAAAAAAAAAAAAAAAAAAAAAAAAAAAAAAAAAAAAAAAAAAAAAAAAAAAAAAAAAAAAAAAAAAAAAAAAAAAAAAAAAAAAAAAAAAAAAAAAAAAAAAAAAAAAAAAAAAAFAAAADwAAAABAAAAAAAAAAAAAAAPAAAAAQAAACMAAAAjAAAAIwAAAB4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BcAAAAUAAAAAAAAAAAAAAD/fwAA/38AAAAAAAAJAAAABAAAAAAAAAAMAAAAEAAAAAAAAAAAAAAAAAAAAAAAAAAeAAAAaAAAAAAAAAAAAAAAAAAAAAAAAAAAAAAAECcAABAnAAAAAAAAAAAAAAAAAAAAAAAAAAAAAAAAAAAAAAAAAAAAABQAAAAAAAAAwMD/AAAAAABkAAAAMgAAAAAAAABkAAAAAAAAAH9/fwAKAAAAIQAAAC4AAAAqAAAAJgAAAAAAAACMAB4ANQAAAAcAAAAAApwDhAAAAHogAADmMAAAJRAAAAAA"/>
            </a:ext>
          </a:extLst>
        </xdr:cNvSpPr>
      </xdr:nvSpPr>
      <xdr:spPr>
        <a:xfrm>
          <a:off x="109117" y="5840574"/>
          <a:ext cx="7987133" cy="2693048"/>
        </a:xfrm>
        <a:prstGeom prst="rect">
          <a:avLst/>
        </a:prstGeom>
        <a:noFill/>
        <a:ln w="9525" cap="flat">
          <a:solidFill>
            <a:srgbClr val="000000"/>
          </a:solidFill>
          <a:prstDash val="solid"/>
          <a:miter lim="800000"/>
          <a:headEnd type="none" w="med" len="med"/>
          <a:tailEnd type="none" w="med" len="med"/>
        </a:ln>
        <a:effectLst/>
      </xdr:spPr>
      <xdr:txBody>
        <a:bodyPr spcFirstLastPara="1" vertOverflow="clip" horzOverflow="clip" wrap="square" lIns="36830" tIns="31750" rIns="0" bIns="0" anchor="t"/>
        <a:lstStyle/>
        <a:p>
          <a:pPr algn="l" defTabSz="360045" rtl="0">
            <a:defRPr sz="1000"/>
          </a:pPr>
          <a:r>
            <a:rPr lang="en-GB" sz="1100" b="0" i="0" u="none" strike="noStrike" kern="100" baseline="0">
              <a:solidFill>
                <a:srgbClr val="000000"/>
              </a:solidFill>
              <a:latin typeface="Calibri" pitchFamily="2" charset="0"/>
              <a:ea typeface="Times New Roman" pitchFamily="1" charset="0"/>
              <a:cs typeface="Times New Roman" pitchFamily="1" charset="0"/>
            </a:rPr>
            <a:t>From using the "YoBrew Wine Calculator" winemakers are able to design wines of a target acidity with a great level of accuracy as long as the acidity of the ingredients is known. When the acidity is not known it can be measured. By carrying out an acidity test titration using a testing kit, the user can measure the acidity of ingredients and enter the resulting value into the "YoBrew Wine Calculator" for that ingredient. Alternatively you can enter a desired acidity level (as % tartaric acid) and measure the acidity of a must or wine. The Acid Calculator will then tell you how much of an acid or alkali needs to be added to obtain your desired level.</a:t>
          </a:r>
        </a:p>
        <a:p>
          <a:pPr algn="l" defTabSz="360045" rtl="0">
            <a:defRPr sz="1000"/>
          </a:pPr>
          <a:endParaRPr/>
        </a:p>
        <a:p>
          <a:pPr algn="l" defTabSz="360045" rtl="0">
            <a:defRPr sz="1000"/>
          </a:pPr>
          <a:r>
            <a:rPr lang="en-GB" sz="1100" b="1" i="0" u="sng" strike="noStrike" kern="100" baseline="0">
              <a:solidFill>
                <a:srgbClr val="000000"/>
              </a:solidFill>
              <a:latin typeface="Calibri" pitchFamily="2" charset="0"/>
              <a:ea typeface="Times New Roman" pitchFamily="1" charset="0"/>
              <a:cs typeface="Times New Roman" pitchFamily="1" charset="0"/>
            </a:rPr>
            <a:t>Using the Acid Check Calculator</a:t>
          </a:r>
        </a:p>
        <a:p>
          <a:pPr algn="l" defTabSz="360045" rtl="0">
            <a:defRPr sz="1000"/>
          </a:pPr>
          <a:endParaRPr/>
        </a:p>
        <a:p>
          <a:pPr algn="l" defTabSz="360045" rtl="0">
            <a:defRPr sz="1000"/>
          </a:pPr>
          <a:r>
            <a:rPr lang="en-GB" sz="1100" b="0" i="0" u="none" strike="noStrike" kern="100" baseline="0">
              <a:solidFill>
                <a:srgbClr val="000000"/>
              </a:solidFill>
              <a:latin typeface="Calibri" pitchFamily="2" charset="0"/>
              <a:ea typeface="Times New Roman" pitchFamily="1" charset="0"/>
              <a:cs typeface="Times New Roman" pitchFamily="1" charset="0"/>
            </a:rPr>
            <a:t>The boxes in yellow are set up to allow the user to insert their own values. The default values are set up to make 4.7L wine, using the Ritchie's Acid Test Kit which comes with a 0.1M concentration sodium hydroxide solution, testing a 5ml sample of must / wine. These values can be amended to suit.</a:t>
          </a:r>
        </a:p>
        <a:p>
          <a:pPr algn="l" defTabSz="360045" rtl="0">
            <a:defRPr sz="1000"/>
          </a:pPr>
          <a:endParaRPr/>
        </a:p>
        <a:p>
          <a:pPr algn="l" defTabSz="360045" rtl="0">
            <a:defRPr sz="1000"/>
          </a:pPr>
          <a:r>
            <a:rPr lang="en-GB" sz="1100" b="0" i="0" u="none" strike="noStrike" kern="100" baseline="0">
              <a:solidFill>
                <a:srgbClr val="000000"/>
              </a:solidFill>
              <a:latin typeface="Calibri" pitchFamily="2" charset="0"/>
              <a:ea typeface="Times New Roman" pitchFamily="1" charset="0"/>
              <a:cs typeface="Times New Roman" pitchFamily="1" charset="0"/>
            </a:rPr>
            <a:t>You also need to insert your desired acidity (as % tartaric) and the volume of sodium hydroxide titrated during your test. Once the above information is entered, the quantities of acid or alkali required to meet your desired acidity will be given.</a:t>
          </a:r>
        </a:p>
      </xdr:txBody>
    </xdr:sp>
    <xdr:clientData/>
  </xdr:twoCellAnchor>
  <xdr:twoCellAnchor>
    <xdr:from>
      <xdr:col>1</xdr:col>
      <xdr:colOff>9720</xdr:colOff>
      <xdr:row>54</xdr:row>
      <xdr:rowOff>8618</xdr:rowOff>
    </xdr:from>
    <xdr:to>
      <xdr:col>9</xdr:col>
      <xdr:colOff>0</xdr:colOff>
      <xdr:row>72</xdr:row>
      <xdr:rowOff>184669</xdr:rowOff>
    </xdr:to>
    <xdr:sp macro="" textlink="">
      <xdr:nvSpPr>
        <xdr:cNvPr id="3" name="Text Box 19">
          <a:extLst>
            <a:ext uri="{FF2B5EF4-FFF2-40B4-BE49-F238E27FC236}">
              <a16:creationId xmlns:a16="http://schemas.microsoft.com/office/drawing/2014/main" xmlns="" id="{60856072-D41D-4729-A3C5-92236C6BD633}"/>
            </a:ext>
          </a:extLst>
        </xdr:cNvPr>
        <xdr:cNvSpPr>
          <a:extLst>
            <a:ext uri="smNativeData">
              <pm:smNativeData xmlns="" xmlns:pm="pm" val="SMDATA_11_SWiLXRMAAAAlAAAAZAAAAI0AAAAAKwAAACQAAAAAAAAAAAAAAAAAAAAAAAAAAAAAAAEAAABQAAAAAAAAAAAA4D8AAAAAAADgPwAAAAAAAOA/AAAAAAAA4D8AAAAAAADgPwAAAAAAAOA/AAAAAAAA4D8AAAAAAADgPwAAAAAAAOA/AAAAAAAA4D8CAAAAjAAAAAEAAAAAAAAA////AAAAAAAAAAAAAAAAAAAAAAAAAAAAAAAAAAAAAAAAAAAAeAAAAAEAAABAAAAAAAAAAAAAAABaAAAAAAAAAAAAAAAAAAAAAAAAAAAAAAAAAAAAAAAAAAAAAAAAAAAAAAAAAAAAAAAAAAAAAAAAAAAAAAAAAAAAAAAAAAAAAAAAAAAAFAAAADwAAAABAAAAAAAAAICAgAAPAAAAAQAAACMAAAAjAAAAIwAAAB4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BcAAAAUAAAAAAAAAAAAAAD/fwAA/38AAAAAAAAJAAAABAAAAAAAAAAMAAAAEAAAAAAAAAAAAAAAAAAAAAAAAAAeAAAAaAAAAAAAAAAAAAAAAAAAAAAAAAAAAAAAECcAABAnAAAAAAAAAAAAAAAAAAAAAAAAAAAAAAAAAAAAAAAAAAAAABQAAAAAAAAAwMD/AAAAAABkAAAAMgAAAAAAAABkAAAAAAAAAH9/fwAKAAAAIQAAAC4AAAAqAAAAOAAAAAAAAADpACEAVAAAAAcAAACjAYcDkgAAAHwzAADAMAAAnR0AAAAA"/>
            </a:ext>
          </a:extLst>
        </xdr:cNvSpPr>
      </xdr:nvSpPr>
      <xdr:spPr>
        <a:xfrm>
          <a:off x="126353" y="8940735"/>
          <a:ext cx="7969897" cy="3675031"/>
        </a:xfrm>
        <a:prstGeom prst="rect">
          <a:avLst/>
        </a:prstGeom>
        <a:solidFill>
          <a:srgbClr val="FFFFFF"/>
        </a:solidFill>
        <a:ln w="9525" cap="flat">
          <a:solidFill>
            <a:srgbClr val="808080"/>
          </a:solidFill>
          <a:prstDash val="solid"/>
          <a:miter lim="800000"/>
          <a:headEnd type="none" w="med" len="med"/>
          <a:tailEnd type="none" w="med" len="med"/>
        </a:ln>
        <a:effectLst/>
      </xdr:spPr>
      <xdr:txBody>
        <a:bodyPr spcFirstLastPara="1" vertOverflow="clip" horzOverflow="clip" wrap="square" lIns="27305" tIns="22860" rIns="0" bIns="0" anchor="t"/>
        <a:lstStyle/>
        <a:p>
          <a:pPr algn="l" defTabSz="360045" rtl="0">
            <a:defRPr sz="1000"/>
          </a:pPr>
          <a:endParaRPr/>
        </a:p>
        <a:p>
          <a:pPr algn="l" defTabSz="360045" rtl="0">
            <a:defRPr sz="1000"/>
          </a:pPr>
          <a:endParaRPr/>
        </a:p>
        <a:p>
          <a:pPr algn="l" defTabSz="360045" rtl="0">
            <a:defRPr sz="1000"/>
          </a:pPr>
          <a:endParaRPr/>
        </a:p>
      </xdr:txBody>
    </xdr:sp>
    <xdr:clientData/>
  </xdr:twoCellAnchor>
  <xdr:twoCellAnchor>
    <xdr:from>
      <xdr:col>3</xdr:col>
      <xdr:colOff>479230</xdr:colOff>
      <xdr:row>10</xdr:row>
      <xdr:rowOff>46264</xdr:rowOff>
    </xdr:from>
    <xdr:to>
      <xdr:col>8</xdr:col>
      <xdr:colOff>406536</xdr:colOff>
      <xdr:row>30</xdr:row>
      <xdr:rowOff>147942</xdr:rowOff>
    </xdr:to>
    <xdr:pic>
      <xdr:nvPicPr>
        <xdr:cNvPr id="9" name="Picture 7" descr="acid_test_2">
          <a:extLst>
            <a:ext uri="{FF2B5EF4-FFF2-40B4-BE49-F238E27FC236}">
              <a16:creationId xmlns:a16="http://schemas.microsoft.com/office/drawing/2014/main" xmlns="" id="{12A58A23-CDE5-4235-A0FA-0AF68706B540}"/>
            </a:ext>
          </a:extLst>
        </xdr:cNvPr>
        <xdr:cNvPicPr>
          <a:picLocks noChangeAspect="1"/>
          <a:extLst>
            <a:ext uri="smNativeData">
              <pm:smNativeData xmlns="" xmlns:pm="pm" val="SMDATA_12_SWiLXRMAAAAlAAAAEQAAAK0AAAAAkAAAAEgAAACQAAAASAAAAAAAAAAAAAAAAAAAAAEAAABQAAAAAAAAAAAA4D8AAAAAAADgPwAAAAAAAOA/AAAAAAAA4D8AAAAAAADgPwAAAAAAAOA/AAAAAAAA4D8AAAAAAADgPwAAAAAAAOA/AAAAAAAA4D8CAAAAjAAAAAAAAAAAAAAA////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EAAAAXAAAAFAAAAAAAAAAAAAAA/38AAP9/AAAAAAAACQAAAAQAAADGo5rHDAAAABAAAAAAAAAAAAAAAAAAAAAAAAAAHgAAAGgAAAAAAAAAAAAAAAAAAAAAAAAAAAAAABAnAAAQJwAAAAAAAAAAAAAAAAAAAAAAAAAAAAAAAAAAAAAAAAAAAAAUAAAAAAAAAMDA/wAAAAAAZAAAADIAAAAAAAAAZAAAAAAAAAB/f38ACgAAACEAAAAuAAAAKgAAAAsAAAACAAAARgFoAhwAAAAFAAAAugJyAicZAAC/DQAAjQ0AAMkIAAAAAA=="/>
            </a:ext>
          </a:extLst>
        </xdr:cNvPicPr>
      </xdr:nvPicPr>
      <xdr:blipFill>
        <a:blip xmlns:r="http://schemas.openxmlformats.org/officeDocument/2006/relationships" r:embed="rId1"/>
        <a:stretch>
          <a:fillRect/>
        </a:stretch>
      </xdr:blipFill>
      <xdr:spPr>
        <a:xfrm>
          <a:off x="4085123" y="2174810"/>
          <a:ext cx="3669270" cy="2239943"/>
        </a:xfrm>
        <a:prstGeom prst="rect">
          <a:avLst/>
        </a:prstGeom>
        <a:noFill/>
        <a:ln w="12700" cap="flat">
          <a:noFill/>
          <a:prstDash val="solid"/>
          <a:miter lim="800000"/>
          <a:headEnd type="none" w="med" len="med"/>
          <a:tailEnd type="none" w="med" len="med"/>
        </a:ln>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16510</xdr:colOff>
      <xdr:row>13</xdr:row>
      <xdr:rowOff>40640</xdr:rowOff>
    </xdr:from>
    <xdr:to>
      <xdr:col>21</xdr:col>
      <xdr:colOff>2763</xdr:colOff>
      <xdr:row>73</xdr:row>
      <xdr:rowOff>155096</xdr:rowOff>
    </xdr:to>
    <xdr:sp macro="" textlink="" fLocksText="0">
      <xdr:nvSpPr>
        <xdr:cNvPr id="2" name="Text Box 1"/>
        <xdr:cNvSpPr txBox="1">
          <a:spLocks noChangeArrowheads="1"/>
        </xdr:cNvSpPr>
      </xdr:nvSpPr>
      <xdr:spPr bwMode="auto">
        <a:xfrm>
          <a:off x="8030210" y="2313940"/>
          <a:ext cx="2132553" cy="10782456"/>
        </a:xfrm>
        <a:prstGeom prst="rect">
          <a:avLst/>
        </a:prstGeom>
        <a:noFill/>
        <a:ln w="9525">
          <a:noFill/>
          <a:miter lim="800000"/>
          <a:headEnd/>
          <a:tailEnd/>
        </a:ln>
        <a:effectLst/>
      </xdr:spPr>
      <xdr:txBody>
        <a:bodyPr vertOverflow="clip" wrap="square" lIns="27305" tIns="22860" rIns="0" bIns="0" anchor="t" upright="1"/>
        <a:lstStyle/>
        <a:p>
          <a:pPr algn="l" rtl="0">
            <a:defRPr sz="1000"/>
          </a:pPr>
          <a:r>
            <a:rPr lang="en-US" sz="1200" b="0" i="0" u="none" strike="noStrike" baseline="0">
              <a:solidFill>
                <a:srgbClr val="000000"/>
              </a:solidFill>
              <a:latin typeface="Times New Roman"/>
              <a:cs typeface="Times New Roman"/>
            </a:rPr>
            <a:t>One "standard" measure or one “shot” of spirit is 25ml (U. K.).</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Check the "ABV" ratings (column "D") before you start.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Serve  with one marashacino cherry &amp; garnish with an orange slice.</a:t>
          </a:r>
        </a:p>
        <a:p>
          <a:pPr algn="l" rtl="0">
            <a:defRPr sz="1000"/>
          </a:pPr>
          <a:endParaRPr lang="en-US" sz="1000" b="0" i="0" u="none" strike="noStrike" baseline="0">
            <a:solidFill>
              <a:srgbClr val="000000"/>
            </a:solidFill>
            <a:latin typeface="Times New Roman"/>
            <a:cs typeface="Times New Roman"/>
          </a:endParaRPr>
        </a:p>
        <a:p>
          <a:pPr algn="l" rtl="0">
            <a:defRPr sz="1000"/>
          </a:pPr>
          <a:endParaRPr lang="en-US" sz="10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clientData fLocksWithSheet="0"/>
  </xdr:twoCellAnchor>
  <xdr:twoCellAnchor editAs="oneCell">
    <xdr:from>
      <xdr:col>17</xdr:col>
      <xdr:colOff>384265</xdr:colOff>
      <xdr:row>67</xdr:row>
      <xdr:rowOff>6</xdr:rowOff>
    </xdr:from>
    <xdr:to>
      <xdr:col>20</xdr:col>
      <xdr:colOff>279567</xdr:colOff>
      <xdr:row>80</xdr:row>
      <xdr:rowOff>125192</xdr:rowOff>
    </xdr:to>
    <xdr:pic>
      <xdr:nvPicPr>
        <xdr:cNvPr id="3" name="Picture 3" descr="red_cocktail_with_splash copy"/>
        <xdr:cNvPicPr>
          <a:picLocks noRot="1" noChangeAspect="1" noChangeArrowheads="1"/>
        </xdr:cNvPicPr>
      </xdr:nvPicPr>
      <xdr:blipFill>
        <a:blip xmlns:r="http://schemas.openxmlformats.org/officeDocument/2006/relationships" r:embed="rId1" cstate="print"/>
        <a:srcRect/>
        <a:stretch>
          <a:fillRect/>
        </a:stretch>
      </xdr:blipFill>
      <xdr:spPr bwMode="auto">
        <a:xfrm>
          <a:off x="8397965" y="11861806"/>
          <a:ext cx="1495502" cy="2436586"/>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15</xdr:col>
      <xdr:colOff>1991592</xdr:colOff>
      <xdr:row>2</xdr:row>
      <xdr:rowOff>173182</xdr:rowOff>
    </xdr:from>
    <xdr:to>
      <xdr:col>17</xdr:col>
      <xdr:colOff>5289</xdr:colOff>
      <xdr:row>13</xdr:row>
      <xdr:rowOff>120965</xdr:rowOff>
    </xdr:to>
    <xdr:pic>
      <xdr:nvPicPr>
        <xdr:cNvPr id="2" name="Picture 209" descr="Image result for homemade strawberry jam"/>
        <xdr:cNvPicPr>
          <a:picLocks noChangeAspect="1"/>
          <a:extLst>
            <a:ext uri="smNativeData">
              <pm:smNativeData xmlns:pm="pm" xmlns="" val="SMDATA_12_SWiLXRMAAAAlAAAAEQAAAK0AAAAAkAAAAEgAAACQAAAASAAAAAAAAAAAAAAAAAAAAAEAAABQAAAAAAAAAAAA4D8AAAAAAADgPwAAAAAAAOA/AAAAAAAA4D8AAAAAAADgPwAAAAAAAOA/AAAAAAAA4D8AAAAAAADgPwAAAAAAAOA/AAAAAAAA4D8CAAAAjAAAAAAAAAAAAAAA////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3QIAANoDAAC2AgAAsQIAAAAAAABkAAAAZAAAAAEAAAAXAAAAFAAAAAAAAAAAAAAA/38AAP9/AAAAAAAACQAAAAQAAAAAAAAADAAAABAAAAAAAAAAAAAAAAAAAAAAAAAAHgAAAGgAAAAAAAAAAAAAAAAAAAAAAAAAAAAAABAnAAAQJwAAAAAAAAAAAAAAAAAAAAAAAAAAAAAAAAAAAAAAAAAAAAAUAAAAAAAAAMDA/wAAAAAAZAAAADIAAAAAAAAAZAAAAAAAAAB/f38ACgAAACEAAAAuAAAAKgAAAAIAAAAPAAAAxwB0Ag4AAAAQAAAAIgLGA4Q1AAA6AwAA3g8AAHgLAAAAAA=="/>
            </a:ext>
          </a:extLst>
        </xdr:cNvPicPr>
      </xdr:nvPicPr>
      <xdr:blipFill>
        <a:blip xmlns:r="http://schemas.openxmlformats.org/officeDocument/2006/relationships" r:embed="rId1" cstate="print"/>
        <a:srcRect l="7330" t="9860" r="6940" b="6890"/>
        <a:stretch>
          <a:fillRect/>
        </a:stretch>
      </xdr:blipFill>
      <xdr:spPr>
        <a:xfrm>
          <a:off x="9203378" y="680357"/>
          <a:ext cx="2281392" cy="1642491"/>
        </a:xfrm>
        <a:prstGeom prst="rect">
          <a:avLst/>
        </a:prstGeom>
        <a:noFill/>
        <a:ln w="12700" cap="flat">
          <a:noFill/>
          <a:prstDash val="solid"/>
          <a:miter lim="800000"/>
          <a:headEnd type="none" w="med" len="med"/>
          <a:tailEnd type="none" w="med" len="med"/>
        </a:ln>
        <a:effectLst/>
      </xdr:spPr>
    </xdr:pic>
    <xdr:clientData/>
  </xdr:twoCellAnchor>
  <xdr:twoCellAnchor>
    <xdr:from>
      <xdr:col>14</xdr:col>
      <xdr:colOff>27940</xdr:colOff>
      <xdr:row>19</xdr:row>
      <xdr:rowOff>0</xdr:rowOff>
    </xdr:from>
    <xdr:to>
      <xdr:col>16</xdr:col>
      <xdr:colOff>1453515</xdr:colOff>
      <xdr:row>82</xdr:row>
      <xdr:rowOff>0</xdr:rowOff>
    </xdr:to>
    <xdr:sp macro="" textlink="">
      <xdr:nvSpPr>
        <xdr:cNvPr id="8" name="Text Box 4"/>
        <xdr:cNvSpPr>
          <a:extLst>
            <a:ext uri="smNativeData">
              <pm:smNativeData xmlns="" xmlns:pm="pm" val="SMDATA_11_SWiLXRMAAAAlAAAAZAAAAI0AAAAAKwAAACQAAAAAAAAAAAAAAAAAAAAAAAAAAAAAAAEAAABQAAAAAAAAAAAA4D8AAAAAAADgPwAAAAAAAOA/AAAAAAAA4D8AAAAAAADgPwAAAAAAAOA/AAAAAAAA4D8AAAAAAADgPwAAAAAAAOA/AAAAAAAA4D8CAAAAjAAAAAEAAAAAAAAA////AAAAAAAAAAAAAAAAAAAAAAAAAAAAAAAAAAAAAAAAAAAAeAAAAAEAAABAAAAAAAAAAAAAAABaAAAAAAAAAAAAAAAAAAAAAAAAAAAAAAAAAAAAAAAAAAAAAAAAAAAAAAAAAAAAAAAAAAAAAAAAAAAAAAAAAAAAAAAAAAAAAAAAAAAAFAAAADwAAAABAAAAAAAAAAAAAAAPAAAAAQAAACMAAAAjAAAAIwAAAB4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BcAAAAUAAAAAAAAAAAAAAD/fwAA/38AAAAAAAAJAAAABAAAAAAAAAAMAAAAEAAAAAAAAAAAAAAAAAAAAAAAAAAeAAAAaAAAAAAAAAAAAAAAAAAAAAAAAAAAAAAAECcAABAnAAAAAAAAAAAAAAAAAAAAAAAAAAAAAAAAAAAAAAAAAAAAABQAAAAAAAAAwMD/AAAAAABkAAAAMgAAAAAAAABkAAAAAAAAAH9/fwAKAAAAIQAAAC4AAAAqAAAAFAAAAA4AAAAAAC4AUgAAABAAAAAAANQDuSYAAGEUAADKHgAADEgAAAAA"/>
            </a:ext>
          </a:extLst>
        </xdr:cNvSpPr>
      </xdr:nvSpPr>
      <xdr:spPr>
        <a:xfrm>
          <a:off x="6555740" y="3276600"/>
          <a:ext cx="4829175" cy="11976100"/>
        </a:xfrm>
        <a:prstGeom prst="rect">
          <a:avLst/>
        </a:prstGeom>
        <a:solidFill>
          <a:srgbClr val="FFFFFF"/>
        </a:solidFill>
        <a:ln w="9525" cap="flat">
          <a:solidFill>
            <a:srgbClr val="000000"/>
          </a:solidFill>
          <a:prstDash val="solid"/>
          <a:miter lim="800000"/>
          <a:headEnd type="none" w="med" len="med"/>
          <a:tailEnd type="none" w="med" len="med"/>
        </a:ln>
        <a:effectLst/>
      </xdr:spPr>
      <xdr:txBody>
        <a:bodyPr spcFirstLastPara="1" vertOverflow="clip" horzOverflow="clip" wrap="square" lIns="27305" tIns="22860" rIns="0" bIns="0" anchor="t"/>
        <a:lstStyle/>
        <a:p>
          <a:pPr algn="l" defTabSz="360045" rtl="0">
            <a:defRPr sz="1000"/>
          </a:pPr>
          <a:r>
            <a:rPr lang="en-GB" sz="1200" b="0" i="0" u="none" strike="noStrike" kern="100" baseline="0">
              <a:solidFill>
                <a:srgbClr val="000000"/>
              </a:solidFill>
              <a:latin typeface="Times New Roman" pitchFamily="18" charset="0"/>
              <a:ea typeface="Times New Roman" pitchFamily="1" charset="0"/>
              <a:cs typeface="Times New Roman" pitchFamily="18" charset="0"/>
            </a:rPr>
            <a:t>The "Stone Factor" provides the "Useable Wt." of fruit flesh, this allows for stoned fruits &amp; apples/pears being peeled &amp; cores etc. It is not normally necessary to remove stones prior to making jam, just slice difficult fruit to allow the stones to be freed during boiling. Some fruits such as apricots, can be enhanced by cracking a few of the stones &amp; adding the kernels to the boil.</a:t>
          </a:r>
        </a:p>
        <a:p>
          <a:pPr algn="l" defTabSz="360045" rtl="0">
            <a:defRPr sz="1000"/>
          </a:pPr>
          <a:endParaRPr sz="1200">
            <a:latin typeface="Times New Roman" pitchFamily="18" charset="0"/>
            <a:cs typeface="Times New Roman" pitchFamily="18" charset="0"/>
          </a:endParaRPr>
        </a:p>
        <a:p>
          <a:pPr algn="l" defTabSz="360045" rtl="0">
            <a:defRPr sz="1000"/>
          </a:pPr>
          <a:r>
            <a:rPr lang="en-GB" sz="1200" b="0" i="0" u="none" strike="noStrike" kern="100" baseline="0">
              <a:solidFill>
                <a:srgbClr val="000000"/>
              </a:solidFill>
              <a:latin typeface="Times New Roman" pitchFamily="18" charset="0"/>
              <a:ea typeface="Times New Roman" pitchFamily="1" charset="0"/>
              <a:cs typeface="Times New Roman" pitchFamily="18" charset="0"/>
            </a:rPr>
            <a:t>The "Water Factor" is the amount of water to be added to the fruit.</a:t>
          </a:r>
        </a:p>
        <a:p>
          <a:pPr algn="l" defTabSz="360045" rtl="0">
            <a:defRPr sz="1000"/>
          </a:pPr>
          <a:endParaRPr sz="1200">
            <a:latin typeface="Times New Roman" pitchFamily="18" charset="0"/>
            <a:cs typeface="Times New Roman" pitchFamily="18" charset="0"/>
          </a:endParaRPr>
        </a:p>
        <a:p>
          <a:pPr algn="l" defTabSz="360045" rtl="0">
            <a:defRPr sz="1000"/>
          </a:pPr>
          <a:r>
            <a:rPr lang="en-GB" sz="1200" b="0" i="0" u="none" strike="noStrike" kern="100" baseline="0">
              <a:solidFill>
                <a:srgbClr val="000000"/>
              </a:solidFill>
              <a:latin typeface="Times New Roman" pitchFamily="18" charset="0"/>
              <a:ea typeface="Times New Roman" pitchFamily="1" charset="0"/>
              <a:cs typeface="Times New Roman" pitchFamily="18" charset="0"/>
            </a:rPr>
            <a:t>The "Sugar Factor" determines the weight of sugar to be added.</a:t>
          </a:r>
        </a:p>
        <a:p>
          <a:pPr algn="l" defTabSz="360045" rtl="0">
            <a:defRPr sz="1000"/>
          </a:pPr>
          <a:endParaRPr sz="1200">
            <a:latin typeface="Times New Roman" pitchFamily="18" charset="0"/>
            <a:cs typeface="Times New Roman" pitchFamily="18" charset="0"/>
          </a:endParaRPr>
        </a:p>
        <a:p>
          <a:pPr algn="l" defTabSz="360045" rtl="0">
            <a:defRPr sz="1000"/>
          </a:pPr>
          <a:r>
            <a:rPr lang="en-GB" sz="1200" b="0" i="0" u="none" strike="noStrike" kern="100" baseline="0">
              <a:solidFill>
                <a:srgbClr val="000000"/>
              </a:solidFill>
              <a:latin typeface="Times New Roman" pitchFamily="18" charset="0"/>
              <a:ea typeface="Times New Roman" pitchFamily="1" charset="0"/>
              <a:cs typeface="Times New Roman" pitchFamily="18" charset="0"/>
            </a:rPr>
            <a:t>Quantities quoted are by no means critical!</a:t>
          </a:r>
        </a:p>
        <a:p>
          <a:pPr algn="l" defTabSz="360045" rtl="0">
            <a:defRPr sz="1000"/>
          </a:pPr>
          <a:r>
            <a:rPr lang="en-GB" sz="1200" b="0" i="0" u="none" strike="noStrike" kern="100" baseline="0">
              <a:solidFill>
                <a:srgbClr val="000000"/>
              </a:solidFill>
              <a:latin typeface="Times New Roman" pitchFamily="18" charset="0"/>
              <a:ea typeface="Times New Roman" pitchFamily="1" charset="0"/>
              <a:cs typeface="Times New Roman" pitchFamily="18" charset="0"/>
            </a:rPr>
            <a:t> </a:t>
          </a:r>
        </a:p>
        <a:p>
          <a:pPr algn="l" defTabSz="360045" rtl="0">
            <a:defRPr sz="1000"/>
          </a:pPr>
          <a:r>
            <a:rPr lang="en-GB" sz="1200" b="0" i="0" u="none" strike="noStrike" kern="100" baseline="0">
              <a:solidFill>
                <a:srgbClr val="000000"/>
              </a:solidFill>
              <a:latin typeface="Times New Roman" pitchFamily="18" charset="0"/>
              <a:ea typeface="Times New Roman" pitchFamily="1" charset="0"/>
              <a:cs typeface="Times New Roman" pitchFamily="18" charset="0"/>
            </a:rPr>
            <a:t>Paradoxically, pectin, the wine-makers enemy, is the jam-makers best friend. Under-ripe fruits have more pectin than ripe hence more sugar can be added, slightly more water may also be required.</a:t>
          </a:r>
        </a:p>
        <a:p>
          <a:pPr algn="l" defTabSz="360045" rtl="0">
            <a:defRPr sz="1000"/>
          </a:pPr>
          <a:r>
            <a:rPr lang="en-GB" sz="1200" b="0" i="0" u="none" strike="noStrike" kern="100" baseline="0">
              <a:solidFill>
                <a:srgbClr val="000000"/>
              </a:solidFill>
              <a:latin typeface="Times New Roman" pitchFamily="18" charset="0"/>
              <a:ea typeface="Times New Roman" pitchFamily="1" charset="0"/>
              <a:cs typeface="Times New Roman" pitchFamily="18" charset="0"/>
            </a:rPr>
            <a:t> </a:t>
          </a:r>
        </a:p>
        <a:p>
          <a:pPr algn="l" defTabSz="360045" rtl="0">
            <a:defRPr sz="1000"/>
          </a:pPr>
          <a:r>
            <a:rPr lang="en-GB" sz="1200" b="0" i="0" u="none" strike="noStrike" kern="100" baseline="0">
              <a:solidFill>
                <a:srgbClr val="000000"/>
              </a:solidFill>
              <a:latin typeface="Times New Roman" pitchFamily="18" charset="0"/>
              <a:ea typeface="Times New Roman" pitchFamily="1" charset="0"/>
              <a:cs typeface="Times New Roman" pitchFamily="18" charset="0"/>
            </a:rPr>
            <a:t>High pectin/setting fruits, these can be used singly or combined with lower pectin content fruits include:-</a:t>
          </a:r>
        </a:p>
        <a:p>
          <a:pPr algn="l" defTabSz="360045" rtl="0">
            <a:defRPr sz="1000"/>
          </a:pPr>
          <a:r>
            <a:rPr lang="en-GB" sz="1200" b="0" i="0" u="none" strike="noStrike" kern="100" baseline="0">
              <a:solidFill>
                <a:srgbClr val="000000"/>
              </a:solidFill>
              <a:latin typeface="Times New Roman" pitchFamily="18" charset="0"/>
              <a:ea typeface="Times New Roman" pitchFamily="1" charset="0"/>
              <a:cs typeface="Times New Roman" pitchFamily="18" charset="0"/>
            </a:rPr>
            <a:t>Cooking &amp; crab apples, blackcurrants, damsons, gooseberries, lemons, plums &amp; redcurrants.</a:t>
          </a:r>
        </a:p>
        <a:p>
          <a:pPr algn="l" defTabSz="360045" rtl="0">
            <a:defRPr sz="1000"/>
          </a:pPr>
          <a:endParaRPr sz="1200">
            <a:latin typeface="Times New Roman" pitchFamily="18" charset="0"/>
            <a:cs typeface="Times New Roman" pitchFamily="18" charset="0"/>
          </a:endParaRPr>
        </a:p>
        <a:p>
          <a:pPr algn="l" defTabSz="360045" rtl="0">
            <a:defRPr sz="1000"/>
          </a:pPr>
          <a:r>
            <a:rPr lang="en-GB" sz="1200" b="0" i="0" u="none" strike="noStrike" kern="100" baseline="0">
              <a:solidFill>
                <a:srgbClr val="000000"/>
              </a:solidFill>
              <a:latin typeface="Times New Roman" pitchFamily="18" charset="0"/>
              <a:ea typeface="Times New Roman" pitchFamily="1" charset="0"/>
              <a:cs typeface="Times New Roman" pitchFamily="18" charset="0"/>
            </a:rPr>
            <a:t>Medium pectin/setting fruits:-</a:t>
          </a:r>
        </a:p>
        <a:p>
          <a:pPr algn="l" defTabSz="360045" rtl="0">
            <a:defRPr sz="1000"/>
          </a:pPr>
          <a:r>
            <a:rPr lang="en-GB" sz="1200" b="0" i="0" u="none" strike="noStrike" kern="100" baseline="0">
              <a:solidFill>
                <a:srgbClr val="000000"/>
              </a:solidFill>
              <a:latin typeface="Times New Roman" pitchFamily="18" charset="0"/>
              <a:ea typeface="Times New Roman" pitchFamily="1" charset="0"/>
              <a:cs typeface="Times New Roman" pitchFamily="18" charset="0"/>
            </a:rPr>
            <a:t>Apricots, blackberries, raspberries &amp; loganberries.</a:t>
          </a:r>
        </a:p>
        <a:p>
          <a:pPr algn="l" defTabSz="360045" rtl="0">
            <a:defRPr sz="1000"/>
          </a:pPr>
          <a:endParaRPr sz="1200">
            <a:latin typeface="Times New Roman" pitchFamily="18" charset="0"/>
            <a:cs typeface="Times New Roman" pitchFamily="18" charset="0"/>
          </a:endParaRPr>
        </a:p>
        <a:p>
          <a:pPr algn="l" defTabSz="360045" rtl="0">
            <a:defRPr sz="1000"/>
          </a:pPr>
          <a:r>
            <a:rPr lang="en-GB" sz="1200" b="0" i="0" u="none" strike="noStrike" kern="100" baseline="0">
              <a:solidFill>
                <a:srgbClr val="000000"/>
              </a:solidFill>
              <a:latin typeface="Times New Roman" pitchFamily="18" charset="0"/>
              <a:ea typeface="Times New Roman" pitchFamily="1" charset="0"/>
              <a:cs typeface="Times New Roman" pitchFamily="18" charset="0"/>
            </a:rPr>
            <a:t>Low pectin/setting fruits:-</a:t>
          </a:r>
        </a:p>
        <a:p>
          <a:pPr algn="l" defTabSz="360045" rtl="0">
            <a:defRPr sz="1000"/>
          </a:pPr>
          <a:r>
            <a:rPr lang="en-GB" sz="1200" b="0" i="0" u="none" strike="noStrike" kern="100" baseline="0">
              <a:solidFill>
                <a:srgbClr val="000000"/>
              </a:solidFill>
              <a:latin typeface="Times New Roman" pitchFamily="18" charset="0"/>
              <a:ea typeface="Times New Roman" pitchFamily="1" charset="0"/>
              <a:cs typeface="Times New Roman" pitchFamily="18" charset="0"/>
            </a:rPr>
            <a:t>Cherries and strawberries.</a:t>
          </a:r>
        </a:p>
        <a:p>
          <a:pPr algn="l" defTabSz="360045" rtl="0">
            <a:defRPr sz="1000"/>
          </a:pPr>
          <a:endParaRPr sz="1200">
            <a:latin typeface="Times New Roman" pitchFamily="18" charset="0"/>
            <a:cs typeface="Times New Roman" pitchFamily="18" charset="0"/>
          </a:endParaRPr>
        </a:p>
        <a:p>
          <a:pPr algn="l" defTabSz="360045" rtl="0">
            <a:defRPr sz="1000"/>
          </a:pPr>
          <a:r>
            <a:rPr lang="en-GB" sz="1200" b="0" i="0" u="none" strike="noStrike" kern="100" baseline="0">
              <a:solidFill>
                <a:srgbClr val="000000"/>
              </a:solidFill>
              <a:latin typeface="Times New Roman" pitchFamily="18" charset="0"/>
              <a:ea typeface="Times New Roman" pitchFamily="1" charset="0"/>
              <a:cs typeface="Times New Roman" pitchFamily="18" charset="0"/>
            </a:rPr>
            <a:t>Water quantities are not critical, if insufficient is initially used you can always add more, any excess will be "reduced" or boiled off.</a:t>
          </a:r>
        </a:p>
        <a:p>
          <a:pPr algn="l" defTabSz="360045" rtl="0">
            <a:defRPr sz="1000"/>
          </a:pPr>
          <a:endParaRPr sz="1200">
            <a:latin typeface="Times New Roman" pitchFamily="18" charset="0"/>
            <a:cs typeface="Times New Roman" pitchFamily="18" charset="0"/>
          </a:endParaRPr>
        </a:p>
        <a:p>
          <a:pPr algn="l" defTabSz="360045" rtl="0">
            <a:defRPr sz="1000"/>
          </a:pPr>
          <a:r>
            <a:rPr lang="en-GB" sz="1200" b="0" i="0" u="none" strike="noStrike" kern="100" baseline="0">
              <a:solidFill>
                <a:srgbClr val="000000"/>
              </a:solidFill>
              <a:latin typeface="Times New Roman" pitchFamily="18" charset="0"/>
              <a:ea typeface="Times New Roman" pitchFamily="1" charset="0"/>
              <a:cs typeface="Times New Roman" pitchFamily="18" charset="0"/>
            </a:rPr>
            <a:t>The  "TOTAL ACID" &amp; "TOTAL PECTIN" content i.e. "High" is an indicator of the jam's setting quality.</a:t>
          </a:r>
        </a:p>
        <a:p>
          <a:pPr algn="l" defTabSz="360045" rtl="0">
            <a:defRPr sz="1000"/>
          </a:pPr>
          <a:endParaRPr sz="1200">
            <a:latin typeface="Times New Roman" pitchFamily="18" charset="0"/>
            <a:cs typeface="Times New Roman" pitchFamily="18" charset="0"/>
          </a:endParaRPr>
        </a:p>
        <a:p>
          <a:pPr algn="l" defTabSz="360045" rtl="0">
            <a:defRPr sz="1000"/>
          </a:pPr>
          <a:r>
            <a:rPr lang="en-GB" sz="1200" b="0" i="0" u="none" strike="noStrike" kern="100" baseline="0">
              <a:solidFill>
                <a:srgbClr val="000000"/>
              </a:solidFill>
              <a:latin typeface="Times New Roman" pitchFamily="18" charset="0"/>
              <a:ea typeface="Times New Roman" pitchFamily="1" charset="0"/>
              <a:cs typeface="Times New Roman" pitchFamily="18" charset="0"/>
            </a:rPr>
            <a:t>Example - Damson Wine</a:t>
          </a:r>
        </a:p>
        <a:p>
          <a:pPr algn="l" defTabSz="360045" rtl="0">
            <a:defRPr sz="1000"/>
          </a:pPr>
          <a:r>
            <a:rPr lang="en-GB" sz="1200" b="0" i="0" u="none" strike="noStrike" kern="100" baseline="0">
              <a:solidFill>
                <a:srgbClr val="000000"/>
              </a:solidFill>
              <a:latin typeface="Times New Roman" pitchFamily="18" charset="0"/>
              <a:ea typeface="Times New Roman" pitchFamily="1" charset="0"/>
              <a:cs typeface="Times New Roman" pitchFamily="18" charset="0"/>
            </a:rPr>
            <a:t>Wash the fruit, discarding any bad bits &amp; note the weight, "halve" the fruit &amp; remove any loose stones. For every 500g ripe fruit add about 70ml water in a stainless steel pan (aluminium is not recommended as it can react with the acid &amp; cause harmful compounds) &amp; weigh out about 570g of sugar in a bowl, this may be pre-heated in a low oven (Gas mark 1/4, 110°C). The clean jam jars may be placed in the coolest part of the oven.</a:t>
          </a:r>
        </a:p>
        <a:p>
          <a:pPr algn="l" defTabSz="360045" rtl="0">
            <a:defRPr sz="1000"/>
          </a:pPr>
          <a:r>
            <a:rPr lang="en-GB" sz="1200" b="0" i="0" u="none" strike="noStrike" kern="100" baseline="0">
              <a:solidFill>
                <a:srgbClr val="000000"/>
              </a:solidFill>
              <a:latin typeface="Times New Roman" pitchFamily="18" charset="0"/>
              <a:ea typeface="Times New Roman" pitchFamily="1" charset="0"/>
              <a:cs typeface="Times New Roman" pitchFamily="18" charset="0"/>
            </a:rPr>
            <a:t>Simmer gently, stirring from time to time to prevent sticking &amp; burning, until the fruit &amp; skins are nice &amp; tender.</a:t>
          </a:r>
        </a:p>
        <a:p>
          <a:pPr algn="l" defTabSz="360045" rtl="0">
            <a:defRPr sz="1000"/>
          </a:pPr>
          <a:r>
            <a:rPr lang="en-GB" sz="1200" b="0" i="0" u="none" strike="noStrike" kern="100" baseline="0">
              <a:solidFill>
                <a:srgbClr val="000000"/>
              </a:solidFill>
              <a:latin typeface="Times New Roman" pitchFamily="18" charset="0"/>
              <a:ea typeface="Times New Roman" pitchFamily="1" charset="0"/>
              <a:cs typeface="Times New Roman" pitchFamily="18" charset="0"/>
            </a:rPr>
            <a:t>Turn the pan heat to a minimum &amp; gradually stir in the sugar, when this is dissolved bring the pan contents to a boil then boil rapidly until the "setting point" is reached, taking care not to burn the jam at the bottom of the pan, this problem can be reduced by making smaller quantities. Stirring is not required at this stage but any stones that rise to the surface can be carefully removed.</a:t>
          </a:r>
        </a:p>
        <a:p>
          <a:pPr algn="l" defTabSz="360045" rtl="0">
            <a:defRPr sz="1000"/>
          </a:pPr>
          <a:r>
            <a:rPr lang="en-GB" sz="1200" b="0" i="0" u="none" strike="noStrike" kern="100" baseline="0">
              <a:solidFill>
                <a:srgbClr val="000000"/>
              </a:solidFill>
              <a:latin typeface="Times New Roman" pitchFamily="18" charset="0"/>
              <a:ea typeface="Times New Roman" pitchFamily="1" charset="0"/>
              <a:cs typeface="Times New Roman" pitchFamily="18" charset="0"/>
            </a:rPr>
            <a:t>Allow to cool for 10-15 minutes before pouring into the jars, fill them to at least a centimetre from the top, this helps prevent moulds etc. forming. High sugar jams can be kept for up to a year, low sugar for only a few months. All should be eaten within a few weeks of opening.</a:t>
          </a:r>
        </a:p>
        <a:p>
          <a:pPr algn="l" defTabSz="360045" rtl="0">
            <a:defRPr sz="1000"/>
          </a:pPr>
          <a:endParaRPr sz="1200">
            <a:latin typeface="Times New Roman" pitchFamily="18" charset="0"/>
            <a:cs typeface="Times New Roman" pitchFamily="18" charset="0"/>
          </a:endParaRPr>
        </a:p>
        <a:p>
          <a:pPr algn="l" defTabSz="360045" rtl="0">
            <a:defRPr sz="1000"/>
          </a:pPr>
          <a:r>
            <a:rPr lang="en-GB" sz="1200" b="0" i="0" u="none" strike="noStrike" kern="100" baseline="0">
              <a:solidFill>
                <a:srgbClr val="000000"/>
              </a:solidFill>
              <a:latin typeface="Times New Roman" pitchFamily="18" charset="0"/>
              <a:ea typeface="Times New Roman" pitchFamily="1" charset="0"/>
              <a:cs typeface="Times New Roman" pitchFamily="18" charset="0"/>
            </a:rPr>
            <a:t>The "setting point" occurs at about 105°C (220°F), test every 4 or 5 minutes. If you don't have a jam thermometer, take a sample of the jam with a clean wooden spoon, hold above the pan for about 5 seconds to cool slightly then tip it, allowing the jam to return to the pan. When "set" the jam will "flake" off the spoon rather than drip off. Be careful not to over-boil as the jam  will then never set.</a:t>
          </a:r>
        </a:p>
        <a:p>
          <a:pPr algn="l" defTabSz="360045" rtl="0">
            <a:defRPr sz="1000"/>
          </a:pPr>
          <a:endParaRPr sz="1200">
            <a:latin typeface="Times New Roman" pitchFamily="18" charset="0"/>
            <a:cs typeface="Times New Roman" pitchFamily="18" charset="0"/>
          </a:endParaRPr>
        </a:p>
        <a:p>
          <a:pPr algn="l" defTabSz="360045" rtl="0">
            <a:defRPr sz="1000"/>
          </a:pPr>
          <a:r>
            <a:rPr lang="en-GB" sz="1200" b="0" i="0" u="none" strike="noStrike" kern="100" baseline="0">
              <a:solidFill>
                <a:srgbClr val="000000"/>
              </a:solidFill>
              <a:latin typeface="Times New Roman" pitchFamily="18" charset="0"/>
              <a:ea typeface="Times New Roman" pitchFamily="1" charset="0"/>
              <a:cs typeface="Times New Roman" pitchFamily="18" charset="0"/>
            </a:rPr>
            <a:t>An alternative test is to drop a small amount of  jam onto a clean plate, just removed from a refrigerator. Leave to cool for half to one minute before "pushing" the jam with a well-washed finger. If the jam has a skin that wrinkles, the jam has set, to prevent over-boiling, reduce the pan heat to a minimum during this test, if the jam stays runny and no skin is present, boil for a little longer before re-testing.</a:t>
          </a:r>
        </a:p>
      </xdr:txBody>
    </xdr:sp>
    <xdr:clientData/>
  </xdr:twoCellAnchor>
  <xdr:twoCellAnchor>
    <xdr:from>
      <xdr:col>7</xdr:col>
      <xdr:colOff>394533</xdr:colOff>
      <xdr:row>7</xdr:row>
      <xdr:rowOff>1</xdr:rowOff>
    </xdr:from>
    <xdr:to>
      <xdr:col>7</xdr:col>
      <xdr:colOff>477962</xdr:colOff>
      <xdr:row>11</xdr:row>
      <xdr:rowOff>1882</xdr:rowOff>
    </xdr:to>
    <xdr:sp macro="" textlink="" fLocksText="0">
      <xdr:nvSpPr>
        <xdr:cNvPr id="11" name="Right Brace 10"/>
        <xdr:cNvSpPr>
          <a:spLocks/>
        </xdr:cNvSpPr>
      </xdr:nvSpPr>
      <xdr:spPr bwMode="auto">
        <a:xfrm>
          <a:off x="5230302" y="1233366"/>
          <a:ext cx="83429" cy="758997"/>
        </a:xfrm>
        <a:prstGeom prst="rightBrace">
          <a:avLst>
            <a:gd name="adj1" fmla="val 25980"/>
            <a:gd name="adj2" fmla="val 50139"/>
          </a:avLst>
        </a:prstGeom>
        <a:noFill/>
        <a:ln w="317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GB" sz="1100"/>
        </a:p>
      </xdr:txBody>
    </xdr:sp>
    <xdr:clientData fLocksWithSheet="0"/>
  </xdr:twoCellAnchor>
  <xdr:twoCellAnchor>
    <xdr:from>
      <xdr:col>7</xdr:col>
      <xdr:colOff>393754</xdr:colOff>
      <xdr:row>12</xdr:row>
      <xdr:rowOff>2483</xdr:rowOff>
    </xdr:from>
    <xdr:to>
      <xdr:col>7</xdr:col>
      <xdr:colOff>476554</xdr:colOff>
      <xdr:row>13</xdr:row>
      <xdr:rowOff>188256</xdr:rowOff>
    </xdr:to>
    <xdr:sp macro="" textlink="" fLocksText="0">
      <xdr:nvSpPr>
        <xdr:cNvPr id="12" name="Right Brace 11"/>
        <xdr:cNvSpPr>
          <a:spLocks/>
        </xdr:cNvSpPr>
      </xdr:nvSpPr>
      <xdr:spPr bwMode="auto">
        <a:xfrm>
          <a:off x="5143884" y="2043554"/>
          <a:ext cx="82800" cy="377510"/>
        </a:xfrm>
        <a:prstGeom prst="rightBrace">
          <a:avLst>
            <a:gd name="adj1" fmla="val 25980"/>
            <a:gd name="adj2" fmla="val 50139"/>
          </a:avLst>
        </a:prstGeom>
        <a:noFill/>
        <a:ln w="317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GB" sz="1100"/>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avid.barrow@live.co.uk" TargetMode="External"/><Relationship Id="rId2" Type="http://schemas.openxmlformats.org/officeDocument/2006/relationships/hyperlink" Target="mailto:jamesbsmith@hotmail.com" TargetMode="External"/><Relationship Id="rId1" Type="http://schemas.openxmlformats.org/officeDocument/2006/relationships/hyperlink" Target="http://www.petespintpot.co.uk/" TargetMode="External"/><Relationship Id="rId5" Type="http://schemas.openxmlformats.org/officeDocument/2006/relationships/printerSettings" Target="../printerSettings/printerSettings1.bin"/><Relationship Id="rId4" Type="http://schemas.openxmlformats.org/officeDocument/2006/relationships/hyperlink" Target="http://www.yobrew.co.uk/"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yobrew.co.uk/" TargetMode="External"/><Relationship Id="rId13" Type="http://schemas.openxmlformats.org/officeDocument/2006/relationships/hyperlink" Target="http://www.petespintpot.co.uk/" TargetMode="External"/><Relationship Id="rId3" Type="http://schemas.openxmlformats.org/officeDocument/2006/relationships/hyperlink" Target="http://www.signaturewinesofohio.com/" TargetMode="External"/><Relationship Id="rId7" Type="http://schemas.openxmlformats.org/officeDocument/2006/relationships/hyperlink" Target="http://www.yobrew.co.uk/" TargetMode="External"/><Relationship Id="rId12" Type="http://schemas.openxmlformats.org/officeDocument/2006/relationships/hyperlink" Target="http://www.yobrew.co.uk/" TargetMode="External"/><Relationship Id="rId2" Type="http://schemas.openxmlformats.org/officeDocument/2006/relationships/hyperlink" Target="http://www.petespintpot.co.uk/" TargetMode="External"/><Relationship Id="rId16" Type="http://schemas.openxmlformats.org/officeDocument/2006/relationships/drawing" Target="../drawings/drawing1.xml"/><Relationship Id="rId1" Type="http://schemas.openxmlformats.org/officeDocument/2006/relationships/hyperlink" Target="http://www.petespintpot.co.uk/" TargetMode="External"/><Relationship Id="rId6" Type="http://schemas.openxmlformats.org/officeDocument/2006/relationships/hyperlink" Target="http://www.yobrew.co.uk/" TargetMode="External"/><Relationship Id="rId11" Type="http://schemas.openxmlformats.org/officeDocument/2006/relationships/hyperlink" Target="mailto:david.barrow@live.co.uk" TargetMode="External"/><Relationship Id="rId5" Type="http://schemas.openxmlformats.org/officeDocument/2006/relationships/hyperlink" Target="mailto:david.barrow@live.co.uk" TargetMode="External"/><Relationship Id="rId15" Type="http://schemas.openxmlformats.org/officeDocument/2006/relationships/printerSettings" Target="../printerSettings/printerSettings2.bin"/><Relationship Id="rId10" Type="http://schemas.openxmlformats.org/officeDocument/2006/relationships/hyperlink" Target="http://www.petespintpot.co.uk/health.html" TargetMode="External"/><Relationship Id="rId4" Type="http://schemas.openxmlformats.org/officeDocument/2006/relationships/hyperlink" Target="mailto:david.barrow@live.co.uk" TargetMode="External"/><Relationship Id="rId9" Type="http://schemas.openxmlformats.org/officeDocument/2006/relationships/hyperlink" Target="http://www.petespintpot.co.uk/health.html" TargetMode="External"/><Relationship Id="rId14" Type="http://schemas.openxmlformats.org/officeDocument/2006/relationships/hyperlink" Target="http://www.petespintpot.co.uk/diabetic.html"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petespintpot.co.uk/" TargetMode="External"/><Relationship Id="rId13" Type="http://schemas.openxmlformats.org/officeDocument/2006/relationships/hyperlink" Target="http://www.petespintpot.co.uk/" TargetMode="External"/><Relationship Id="rId3" Type="http://schemas.openxmlformats.org/officeDocument/2006/relationships/hyperlink" Target="http://www.petespintpot.co.uk/" TargetMode="External"/><Relationship Id="rId7" Type="http://schemas.openxmlformats.org/officeDocument/2006/relationships/hyperlink" Target="mailto:david.barrow@live.co.uk" TargetMode="External"/><Relationship Id="rId12" Type="http://schemas.openxmlformats.org/officeDocument/2006/relationships/hyperlink" Target="../../../../L59" TargetMode="External"/><Relationship Id="rId2" Type="http://schemas.openxmlformats.org/officeDocument/2006/relationships/hyperlink" Target="http://www.petespintpot.co.uk/" TargetMode="External"/><Relationship Id="rId16" Type="http://schemas.openxmlformats.org/officeDocument/2006/relationships/drawing" Target="../drawings/drawing2.xml"/><Relationship Id="rId1" Type="http://schemas.openxmlformats.org/officeDocument/2006/relationships/hyperlink" Target="http://www.petespintpot.co.uk/" TargetMode="External"/><Relationship Id="rId6" Type="http://schemas.openxmlformats.org/officeDocument/2006/relationships/hyperlink" Target="http://www.petespintpot.co.uk/" TargetMode="External"/><Relationship Id="rId11" Type="http://schemas.openxmlformats.org/officeDocument/2006/relationships/hyperlink" Target="http://www.signaturewinesofohio.com/" TargetMode="External"/><Relationship Id="rId5" Type="http://schemas.openxmlformats.org/officeDocument/2006/relationships/hyperlink" Target="mailto:david.barrow@live.co.uk" TargetMode="External"/><Relationship Id="rId15" Type="http://schemas.openxmlformats.org/officeDocument/2006/relationships/printerSettings" Target="../printerSettings/printerSettings3.bin"/><Relationship Id="rId10" Type="http://schemas.openxmlformats.org/officeDocument/2006/relationships/hyperlink" Target="http://www.petespintpot.co.uk/kitmod.html" TargetMode="External"/><Relationship Id="rId4" Type="http://schemas.openxmlformats.org/officeDocument/2006/relationships/hyperlink" Target="http://www.petespintpot.co.uk/" TargetMode="External"/><Relationship Id="rId9" Type="http://schemas.openxmlformats.org/officeDocument/2006/relationships/hyperlink" Target="http://www.petespintpot.co.uk/" TargetMode="External"/><Relationship Id="rId14" Type="http://schemas.openxmlformats.org/officeDocument/2006/relationships/hyperlink" Target="http://www.yobrew.co.uk/"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yobrew.co.uk/" TargetMode="External"/><Relationship Id="rId1" Type="http://schemas.openxmlformats.org/officeDocument/2006/relationships/hyperlink" Target="mailto:jamesbsmith@hotmail.com"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hyperlink" Target="http://www.petespintpot.co.uk/non-alcoholic.html" TargetMode="External"/><Relationship Id="rId7" Type="http://schemas.openxmlformats.org/officeDocument/2006/relationships/drawing" Target="../drawings/drawing4.xml"/><Relationship Id="rId2" Type="http://schemas.openxmlformats.org/officeDocument/2006/relationships/hyperlink" Target="http://www.yobrew.co.uk/" TargetMode="External"/><Relationship Id="rId1" Type="http://schemas.openxmlformats.org/officeDocument/2006/relationships/hyperlink" Target="http://www.petespintpot.co.uk/" TargetMode="External"/><Relationship Id="rId6" Type="http://schemas.openxmlformats.org/officeDocument/2006/relationships/printerSettings" Target="../printerSettings/printerSettings5.bin"/><Relationship Id="rId5" Type="http://schemas.openxmlformats.org/officeDocument/2006/relationships/hyperlink" Target="http://www.petespintpot.co.uk/alcoholic-cocktails.html" TargetMode="External"/><Relationship Id="rId4" Type="http://schemas.openxmlformats.org/officeDocument/2006/relationships/hyperlink" Target="http://www.petespintpot.co.uk/non-alcoholic.htm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yobrew.co.uk/" TargetMode="External"/><Relationship Id="rId2" Type="http://schemas.openxmlformats.org/officeDocument/2006/relationships/hyperlink" Target="http://www.petespintpot.co.uk/" TargetMode="External"/><Relationship Id="rId1" Type="http://schemas.openxmlformats.org/officeDocument/2006/relationships/hyperlink" Target="http://www.petespintpot.co.uk/" TargetMode="External"/><Relationship Id="rId5" Type="http://schemas.openxmlformats.org/officeDocument/2006/relationships/drawing" Target="../drawings/drawing5.xm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tabColor theme="0"/>
    <pageSetUpPr fitToPage="1"/>
  </sheetPr>
  <dimension ref="A1:H50"/>
  <sheetViews>
    <sheetView topLeftCell="A14" zoomScale="75" zoomScaleNormal="75" workbookViewId="0">
      <selection activeCell="N22" sqref="N22"/>
    </sheetView>
  </sheetViews>
  <sheetFormatPr defaultColWidth="11.85546875" defaultRowHeight="15"/>
  <cols>
    <col min="1" max="1" width="3" style="29" customWidth="1"/>
    <col min="2" max="2" width="10.7109375" style="29" customWidth="1"/>
    <col min="3" max="3" width="32.5703125" style="29" customWidth="1"/>
    <col min="4" max="4" width="12.28515625" style="29" customWidth="1"/>
    <col min="5" max="5" width="50.5703125" style="29" customWidth="1"/>
    <col min="6" max="6" width="20" style="29" customWidth="1"/>
    <col min="7" max="7" width="1.5703125" style="29" customWidth="1"/>
    <col min="8" max="8" width="4.140625" customWidth="1"/>
  </cols>
  <sheetData>
    <row r="1" spans="1:8" ht="37.9" customHeight="1">
      <c r="A1" s="1071" t="s">
        <v>970</v>
      </c>
      <c r="B1" s="1071"/>
      <c r="C1" s="1072" t="s">
        <v>854</v>
      </c>
      <c r="D1" s="1072"/>
      <c r="E1" s="1072"/>
      <c r="F1" s="250" t="s">
        <v>969</v>
      </c>
      <c r="G1" s="56"/>
      <c r="H1" s="28"/>
    </row>
    <row r="2" spans="1:8" ht="24" customHeight="1">
      <c r="A2" s="1076"/>
      <c r="B2" s="1076"/>
      <c r="C2" s="1076"/>
      <c r="D2" s="1076"/>
      <c r="E2" s="1076"/>
      <c r="F2" s="1076"/>
      <c r="G2" s="56"/>
      <c r="H2" s="28"/>
    </row>
    <row r="3" spans="1:8" s="602" customFormat="1" ht="20.25" customHeight="1">
      <c r="A3" s="1075" t="s">
        <v>862</v>
      </c>
      <c r="B3" s="1075"/>
      <c r="C3" s="1075"/>
      <c r="D3" s="1075"/>
      <c r="E3" s="1075"/>
      <c r="F3" s="1075"/>
      <c r="G3" s="601"/>
      <c r="H3" s="28"/>
    </row>
    <row r="4" spans="1:8" ht="36" customHeight="1">
      <c r="A4" s="112"/>
      <c r="B4" s="956"/>
      <c r="C4" s="956"/>
      <c r="D4" s="1073" t="s">
        <v>0</v>
      </c>
      <c r="E4" s="1073"/>
      <c r="F4" s="1073"/>
      <c r="G4" s="56"/>
      <c r="H4" s="28"/>
    </row>
    <row r="5" spans="1:8" ht="22.5" customHeight="1">
      <c r="A5" s="112"/>
      <c r="B5" s="1074" t="s">
        <v>1</v>
      </c>
      <c r="C5" s="1074"/>
      <c r="D5" s="1068" t="s">
        <v>2</v>
      </c>
      <c r="E5" s="1068"/>
      <c r="F5" s="1068"/>
      <c r="G5" s="56"/>
      <c r="H5" s="28"/>
    </row>
    <row r="6" spans="1:8" ht="22.5" customHeight="1">
      <c r="A6" s="112"/>
      <c r="B6" s="477"/>
      <c r="C6" s="764" t="s">
        <v>969</v>
      </c>
      <c r="D6" s="1068" t="s">
        <v>3</v>
      </c>
      <c r="E6" s="1068"/>
      <c r="F6" s="1068"/>
      <c r="G6" s="56"/>
      <c r="H6" s="28"/>
    </row>
    <row r="7" spans="1:8" ht="20.25" customHeight="1">
      <c r="A7" s="112"/>
      <c r="B7" s="257"/>
      <c r="C7" s="379"/>
      <c r="D7" s="1068" t="s">
        <v>4</v>
      </c>
      <c r="E7" s="1068"/>
      <c r="F7" s="1068"/>
      <c r="G7" s="56"/>
      <c r="H7" s="28"/>
    </row>
    <row r="8" spans="1:8" ht="20.25" customHeight="1">
      <c r="A8" s="112"/>
      <c r="B8" s="217"/>
      <c r="C8" s="217"/>
      <c r="D8" s="954"/>
      <c r="E8" s="1069" t="s">
        <v>5</v>
      </c>
      <c r="F8" s="1069"/>
      <c r="G8" s="56"/>
      <c r="H8" s="28"/>
    </row>
    <row r="9" spans="1:8" ht="20.25" customHeight="1">
      <c r="A9" s="112"/>
      <c r="B9" s="956"/>
      <c r="C9" s="217"/>
      <c r="D9" s="1070" t="s">
        <v>6</v>
      </c>
      <c r="E9" s="1070"/>
      <c r="F9" s="1070"/>
      <c r="G9" s="56"/>
      <c r="H9" s="28"/>
    </row>
    <row r="10" spans="1:8" ht="20.25" customHeight="1">
      <c r="A10" s="112"/>
      <c r="B10" s="956"/>
      <c r="C10" s="217"/>
      <c r="D10" s="1060" t="s">
        <v>7</v>
      </c>
      <c r="E10" s="1060"/>
      <c r="F10" s="1060"/>
      <c r="G10" s="506"/>
      <c r="H10" s="28"/>
    </row>
    <row r="11" spans="1:8" ht="20.25" customHeight="1">
      <c r="A11" s="112"/>
      <c r="B11" s="971"/>
      <c r="C11" s="217"/>
      <c r="D11" s="1060" t="s">
        <v>8</v>
      </c>
      <c r="E11" s="1060"/>
      <c r="F11" s="1060"/>
      <c r="G11" s="506"/>
      <c r="H11" s="28"/>
    </row>
    <row r="12" spans="1:8" ht="20.25" customHeight="1">
      <c r="A12" s="112"/>
      <c r="B12" s="971"/>
      <c r="C12" s="217"/>
      <c r="D12" s="1060" t="s">
        <v>9</v>
      </c>
      <c r="E12" s="1060"/>
      <c r="F12" s="1060"/>
      <c r="G12" s="506"/>
      <c r="H12" s="28"/>
    </row>
    <row r="13" spans="1:8" ht="20.25" customHeight="1">
      <c r="A13" s="112"/>
      <c r="B13" s="971"/>
      <c r="C13" s="217"/>
      <c r="D13" s="712"/>
      <c r="E13" s="1067" t="s">
        <v>943</v>
      </c>
      <c r="F13" s="1067"/>
      <c r="G13" s="506"/>
      <c r="H13" s="28"/>
    </row>
    <row r="14" spans="1:8" ht="20.25" customHeight="1">
      <c r="A14" s="112"/>
      <c r="B14" s="971"/>
      <c r="C14" s="217"/>
      <c r="D14" s="1060" t="s">
        <v>963</v>
      </c>
      <c r="E14" s="1060"/>
      <c r="F14" s="1060"/>
      <c r="G14" s="506"/>
      <c r="H14" s="28"/>
    </row>
    <row r="15" spans="1:8" ht="20.25" customHeight="1">
      <c r="A15" s="112"/>
      <c r="B15" s="971"/>
      <c r="C15" s="217"/>
      <c r="D15" s="1065" t="s">
        <v>10</v>
      </c>
      <c r="E15" s="1065"/>
      <c r="F15" s="1065"/>
      <c r="G15" s="506"/>
      <c r="H15" s="28"/>
    </row>
    <row r="16" spans="1:8" ht="20.25" customHeight="1">
      <c r="A16" s="112"/>
      <c r="B16" s="971"/>
      <c r="C16" s="656"/>
      <c r="D16" s="1065" t="s">
        <v>951</v>
      </c>
      <c r="E16" s="1065"/>
      <c r="F16" s="1065"/>
      <c r="G16" s="506"/>
      <c r="H16" s="28"/>
    </row>
    <row r="17" spans="1:8" ht="20.25" customHeight="1">
      <c r="A17" s="112"/>
      <c r="B17" s="971"/>
      <c r="C17" s="656"/>
      <c r="D17" s="1065" t="s">
        <v>11</v>
      </c>
      <c r="E17" s="1065"/>
      <c r="F17" s="1065"/>
      <c r="G17" s="506"/>
      <c r="H17" s="28"/>
    </row>
    <row r="18" spans="1:8" ht="20.25" customHeight="1">
      <c r="A18" s="112"/>
      <c r="B18" s="971"/>
      <c r="C18" s="656"/>
      <c r="D18" s="1065" t="s">
        <v>12</v>
      </c>
      <c r="E18" s="1065"/>
      <c r="F18" s="1065"/>
      <c r="G18" s="506"/>
      <c r="H18" s="28"/>
    </row>
    <row r="19" spans="1:8" ht="20.25" customHeight="1">
      <c r="A19" s="112"/>
      <c r="B19" s="971"/>
      <c r="C19" s="656"/>
      <c r="D19" s="1065" t="s">
        <v>13</v>
      </c>
      <c r="E19" s="1065"/>
      <c r="F19" s="1065"/>
      <c r="G19" s="506"/>
      <c r="H19" s="28"/>
    </row>
    <row r="20" spans="1:8" ht="20.25" customHeight="1">
      <c r="A20" s="112"/>
      <c r="B20" s="971"/>
      <c r="C20" s="971"/>
      <c r="D20" s="1066"/>
      <c r="E20" s="1066"/>
      <c r="F20" s="1066"/>
      <c r="G20" s="506"/>
      <c r="H20" s="28"/>
    </row>
    <row r="21" spans="1:8" ht="22.5" customHeight="1">
      <c r="A21" s="112"/>
      <c r="B21" s="1062" t="s">
        <v>14</v>
      </c>
      <c r="C21" s="1062"/>
      <c r="D21" s="1063" t="s">
        <v>15</v>
      </c>
      <c r="E21" s="1063"/>
      <c r="F21" s="1063"/>
      <c r="G21" s="56"/>
      <c r="H21" s="28"/>
    </row>
    <row r="22" spans="1:8" ht="20.25" customHeight="1">
      <c r="A22" s="112"/>
      <c r="B22" s="257"/>
      <c r="C22" s="764" t="s">
        <v>969</v>
      </c>
      <c r="D22" s="1064" t="s">
        <v>16</v>
      </c>
      <c r="E22" s="1064"/>
      <c r="F22" s="1064"/>
      <c r="G22" s="56"/>
      <c r="H22" s="28"/>
    </row>
    <row r="23" spans="1:8" ht="20.25" customHeight="1">
      <c r="A23" s="112"/>
      <c r="B23" s="58"/>
      <c r="C23" s="58"/>
      <c r="D23" s="1059" t="s">
        <v>17</v>
      </c>
      <c r="E23" s="1059"/>
      <c r="F23" s="1059"/>
      <c r="G23" s="56"/>
      <c r="H23" s="28"/>
    </row>
    <row r="24" spans="1:8" ht="20.25" customHeight="1">
      <c r="A24" s="112"/>
      <c r="B24" s="58"/>
      <c r="C24" s="58"/>
      <c r="D24" s="955"/>
      <c r="E24" s="1059" t="s">
        <v>18</v>
      </c>
      <c r="F24" s="1059"/>
      <c r="G24" s="56"/>
      <c r="H24" s="28"/>
    </row>
    <row r="25" spans="1:8" ht="20.25" customHeight="1">
      <c r="A25" s="112"/>
      <c r="B25" s="58"/>
      <c r="C25" s="58"/>
      <c r="D25" s="1059" t="s">
        <v>19</v>
      </c>
      <c r="E25" s="1059"/>
      <c r="F25" s="1059"/>
      <c r="G25" s="56"/>
      <c r="H25" s="28"/>
    </row>
    <row r="26" spans="1:8" ht="20.25" customHeight="1">
      <c r="A26" s="112"/>
      <c r="B26" s="58"/>
      <c r="C26" s="58"/>
      <c r="D26" s="955"/>
      <c r="E26" s="1059" t="s">
        <v>20</v>
      </c>
      <c r="F26" s="1059"/>
      <c r="G26" s="56"/>
      <c r="H26" s="28"/>
    </row>
    <row r="27" spans="1:8" ht="20.25" customHeight="1">
      <c r="A27" s="112"/>
      <c r="B27" s="58"/>
      <c r="C27" s="58"/>
      <c r="D27" s="1059" t="s">
        <v>21</v>
      </c>
      <c r="E27" s="1059"/>
      <c r="F27" s="1059"/>
      <c r="G27" s="56"/>
      <c r="H27" s="28"/>
    </row>
    <row r="28" spans="1:8" ht="20.25" customHeight="1">
      <c r="A28" s="112"/>
      <c r="B28" s="58"/>
      <c r="C28" s="58"/>
      <c r="D28" s="1059" t="s">
        <v>22</v>
      </c>
      <c r="E28" s="1059"/>
      <c r="F28" s="1059"/>
      <c r="G28" s="56"/>
      <c r="H28" s="28"/>
    </row>
    <row r="29" spans="1:8" ht="20.25" customHeight="1">
      <c r="A29" s="112"/>
      <c r="B29" s="956"/>
      <c r="C29" s="58"/>
      <c r="D29" s="1059" t="s">
        <v>23</v>
      </c>
      <c r="E29" s="1059"/>
      <c r="F29" s="1059"/>
      <c r="G29" s="56"/>
      <c r="H29" s="28"/>
    </row>
    <row r="30" spans="1:8" ht="20.25" customHeight="1">
      <c r="A30" s="112"/>
      <c r="B30" s="956"/>
      <c r="C30" s="58"/>
      <c r="D30" s="1059" t="s">
        <v>24</v>
      </c>
      <c r="E30" s="1059"/>
      <c r="F30" s="1059"/>
      <c r="G30" s="56"/>
      <c r="H30" s="28"/>
    </row>
    <row r="31" spans="1:8" ht="20.25" customHeight="1">
      <c r="A31" s="112"/>
      <c r="B31" s="956"/>
      <c r="C31" s="58"/>
      <c r="D31" s="1060" t="s">
        <v>25</v>
      </c>
      <c r="E31" s="1060"/>
      <c r="F31" s="1060"/>
      <c r="G31" s="56"/>
      <c r="H31" s="28"/>
    </row>
    <row r="32" spans="1:8" ht="20.25" customHeight="1">
      <c r="A32" s="112"/>
      <c r="B32" s="956"/>
      <c r="C32" s="58"/>
      <c r="D32" s="1060" t="s">
        <v>26</v>
      </c>
      <c r="E32" s="1060"/>
      <c r="F32" s="1060"/>
      <c r="G32" s="56"/>
      <c r="H32" s="28"/>
    </row>
    <row r="33" spans="1:8" ht="20.25" customHeight="1">
      <c r="A33" s="112"/>
      <c r="B33" s="956"/>
      <c r="C33" s="58"/>
      <c r="D33" s="1060" t="s">
        <v>27</v>
      </c>
      <c r="E33" s="1060"/>
      <c r="F33" s="1060"/>
      <c r="G33" s="56"/>
      <c r="H33" s="28"/>
    </row>
    <row r="34" spans="1:8" ht="20.25" customHeight="1">
      <c r="A34" s="112"/>
      <c r="B34" s="956"/>
      <c r="C34" s="956"/>
      <c r="D34" s="1061"/>
      <c r="E34" s="1061"/>
      <c r="F34" s="1061"/>
      <c r="G34" s="56"/>
      <c r="H34" s="28"/>
    </row>
    <row r="35" spans="1:8" ht="22.5" customHeight="1">
      <c r="A35" s="112"/>
      <c r="B35" s="1053" t="s">
        <v>28</v>
      </c>
      <c r="C35" s="1053"/>
      <c r="D35" s="1057" t="s">
        <v>29</v>
      </c>
      <c r="E35" s="1057"/>
      <c r="F35" s="1057"/>
      <c r="G35" s="56"/>
      <c r="H35" s="28"/>
    </row>
    <row r="36" spans="1:8" ht="20.25" customHeight="1">
      <c r="A36" s="112"/>
      <c r="B36" s="257"/>
      <c r="C36" s="764" t="s">
        <v>960</v>
      </c>
      <c r="D36" s="1052"/>
      <c r="E36" s="1052"/>
      <c r="F36" s="1052"/>
      <c r="G36" s="56"/>
      <c r="H36" s="28"/>
    </row>
    <row r="37" spans="1:8" ht="20.25" customHeight="1">
      <c r="A37" s="112"/>
      <c r="B37" s="217"/>
      <c r="C37" s="217"/>
      <c r="D37" s="1052"/>
      <c r="E37" s="1052"/>
      <c r="F37" s="1052"/>
      <c r="G37" s="56"/>
      <c r="H37" s="28"/>
    </row>
    <row r="38" spans="1:8" ht="22.5" customHeight="1">
      <c r="A38" s="112"/>
      <c r="B38" s="1058" t="s">
        <v>30</v>
      </c>
      <c r="C38" s="1058"/>
      <c r="D38" s="1057" t="s">
        <v>31</v>
      </c>
      <c r="E38" s="1057"/>
      <c r="F38" s="1057"/>
      <c r="G38" s="56"/>
      <c r="H38" s="28"/>
    </row>
    <row r="39" spans="1:8" ht="20.25" customHeight="1">
      <c r="A39" s="112"/>
      <c r="B39" s="257"/>
      <c r="C39" s="764" t="s">
        <v>960</v>
      </c>
      <c r="D39" s="1057"/>
      <c r="E39" s="1057"/>
      <c r="F39" s="1057"/>
      <c r="G39" s="56"/>
      <c r="H39" s="28"/>
    </row>
    <row r="40" spans="1:8" ht="20.25" customHeight="1">
      <c r="A40" s="112"/>
      <c r="B40" s="58"/>
      <c r="C40" s="58"/>
      <c r="D40" s="1052"/>
      <c r="E40" s="1052"/>
      <c r="F40" s="1052"/>
      <c r="G40" s="56"/>
      <c r="H40" s="28"/>
    </row>
    <row r="41" spans="1:8" ht="22.5" customHeight="1">
      <c r="A41" s="112"/>
      <c r="B41" s="1053" t="s">
        <v>32</v>
      </c>
      <c r="C41" s="1053"/>
      <c r="D41" s="1054" t="s">
        <v>33</v>
      </c>
      <c r="E41" s="1054"/>
      <c r="F41" s="1054"/>
      <c r="G41" s="56"/>
      <c r="H41" s="28"/>
    </row>
    <row r="42" spans="1:8" ht="20.25" customHeight="1">
      <c r="A42" s="112"/>
      <c r="B42" s="257"/>
      <c r="C42" s="764" t="s">
        <v>969</v>
      </c>
      <c r="D42" s="1055"/>
      <c r="E42" s="1055"/>
      <c r="F42" s="1055"/>
      <c r="G42" s="56"/>
      <c r="H42" s="28"/>
    </row>
    <row r="43" spans="1:8" ht="20.25" customHeight="1">
      <c r="A43" s="112"/>
      <c r="B43" s="58"/>
      <c r="C43" s="58"/>
      <c r="D43" s="1052"/>
      <c r="E43" s="1052"/>
      <c r="F43" s="1052"/>
      <c r="G43" s="56"/>
      <c r="H43" s="28"/>
    </row>
    <row r="44" spans="1:8" ht="20.25" customHeight="1">
      <c r="A44" s="1056" t="s">
        <v>34</v>
      </c>
      <c r="B44" s="1056"/>
      <c r="C44" s="1056"/>
      <c r="D44" s="1056"/>
      <c r="E44" s="1056"/>
      <c r="F44" s="1056"/>
      <c r="G44" s="56"/>
      <c r="H44" s="28"/>
    </row>
    <row r="45" spans="1:8" ht="15" customHeight="1">
      <c r="A45" s="767"/>
      <c r="B45" s="104"/>
      <c r="C45" s="104"/>
      <c r="D45" s="31"/>
      <c r="E45" s="257"/>
      <c r="F45" s="257"/>
      <c r="G45" s="56"/>
      <c r="H45" s="28"/>
    </row>
    <row r="46" spans="1:8" ht="15" customHeight="1">
      <c r="A46" s="112"/>
      <c r="B46" s="104"/>
      <c r="C46" s="104"/>
      <c r="D46" s="31"/>
      <c r="E46" s="30" t="s">
        <v>35</v>
      </c>
      <c r="F46" s="539" t="s">
        <v>36</v>
      </c>
      <c r="G46" s="56"/>
      <c r="H46" s="28"/>
    </row>
    <row r="47" spans="1:8" ht="15" customHeight="1">
      <c r="A47" s="112"/>
      <c r="B47" s="1050" t="s">
        <v>37</v>
      </c>
      <c r="C47" s="1050"/>
      <c r="D47" s="957"/>
      <c r="E47" s="35" t="s">
        <v>38</v>
      </c>
      <c r="F47" s="540" t="s">
        <v>39</v>
      </c>
      <c r="G47" s="56"/>
      <c r="H47" s="28"/>
    </row>
    <row r="48" spans="1:8" ht="15" customHeight="1">
      <c r="A48" s="378"/>
      <c r="B48" s="1051" t="s">
        <v>863</v>
      </c>
      <c r="C48" s="1051"/>
      <c r="D48" s="1051"/>
      <c r="E48" s="35" t="s">
        <v>40</v>
      </c>
      <c r="F48" s="541" t="s">
        <v>41</v>
      </c>
      <c r="G48" s="56"/>
      <c r="H48" s="28"/>
    </row>
    <row r="49" spans="1:8" ht="15" customHeight="1">
      <c r="A49" s="286"/>
      <c r="B49" s="1051"/>
      <c r="C49" s="1051"/>
      <c r="D49" s="1051"/>
      <c r="E49" s="30" t="s">
        <v>42</v>
      </c>
      <c r="F49" s="542" t="s">
        <v>43</v>
      </c>
      <c r="G49" s="56"/>
      <c r="H49" s="28"/>
    </row>
    <row r="50" spans="1:8">
      <c r="A50" s="28"/>
      <c r="B50" s="28"/>
      <c r="C50" s="28"/>
      <c r="D50" s="28"/>
      <c r="E50" s="28"/>
      <c r="F50" s="28"/>
      <c r="G50" s="28"/>
      <c r="H50" s="28"/>
    </row>
  </sheetData>
  <sheetProtection password="FA80" sheet="1" objects="1" scenarios="1"/>
  <mergeCells count="51">
    <mergeCell ref="A1:B1"/>
    <mergeCell ref="C1:E1"/>
    <mergeCell ref="D4:F4"/>
    <mergeCell ref="B5:C5"/>
    <mergeCell ref="D5:F5"/>
    <mergeCell ref="A3:F3"/>
    <mergeCell ref="A2:F2"/>
    <mergeCell ref="D6:F6"/>
    <mergeCell ref="D7:F7"/>
    <mergeCell ref="E8:F8"/>
    <mergeCell ref="D9:F9"/>
    <mergeCell ref="D10:F10"/>
    <mergeCell ref="D11:F11"/>
    <mergeCell ref="D12:F12"/>
    <mergeCell ref="E13:F13"/>
    <mergeCell ref="D14:F14"/>
    <mergeCell ref="D15:F15"/>
    <mergeCell ref="D16:F16"/>
    <mergeCell ref="D17:F17"/>
    <mergeCell ref="D18:F18"/>
    <mergeCell ref="D19:F19"/>
    <mergeCell ref="D20:F20"/>
    <mergeCell ref="B21:C21"/>
    <mergeCell ref="D21:F21"/>
    <mergeCell ref="D22:F22"/>
    <mergeCell ref="D23:F23"/>
    <mergeCell ref="E24:F24"/>
    <mergeCell ref="D25:F25"/>
    <mergeCell ref="E26:F26"/>
    <mergeCell ref="D27:F27"/>
    <mergeCell ref="D28:F28"/>
    <mergeCell ref="D29:F29"/>
    <mergeCell ref="D30:F30"/>
    <mergeCell ref="D31:F31"/>
    <mergeCell ref="D32:F32"/>
    <mergeCell ref="D33:F33"/>
    <mergeCell ref="D34:F34"/>
    <mergeCell ref="B35:C35"/>
    <mergeCell ref="D35:F35"/>
    <mergeCell ref="D36:F36"/>
    <mergeCell ref="D37:F37"/>
    <mergeCell ref="B38:C38"/>
    <mergeCell ref="D38:F39"/>
    <mergeCell ref="B47:C47"/>
    <mergeCell ref="B48:D49"/>
    <mergeCell ref="D40:F40"/>
    <mergeCell ref="B41:C41"/>
    <mergeCell ref="D41:F41"/>
    <mergeCell ref="D42:F42"/>
    <mergeCell ref="D43:F43"/>
    <mergeCell ref="A44:F44"/>
  </mergeCells>
  <hyperlinks>
    <hyperlink ref="B5" location="'General Calc''s'!H1" display="General Calc's"/>
    <hyperlink ref="D5" location="'General Calc''s'!A3" display="General Converters - volume, weight, temperature etc."/>
    <hyperlink ref="E5" location="'General Calc''s'!A3" display="'General Calc''s'!A3"/>
    <hyperlink ref="F5" location="'General Calc''s'!A3" display="'General Calc''s'!A3"/>
    <hyperlink ref="D6" location="'General Calc''s'!A35" display="OG Correction For Wines etc."/>
    <hyperlink ref="E6" location="'General Calc''s'!A35" display="'General Calc''s'!A35"/>
    <hyperlink ref="F6" location="'General Calc''s'!A35" display="'General Calc''s'!A35"/>
    <hyperlink ref="D7" location="'General Calc''s'!A48" display="UK ̸ US Proof &amp; % Converters Etc."/>
    <hyperlink ref="E7" location="'General Calc''s'!A48" display="'General Calc''s'!A48"/>
    <hyperlink ref="F7" location="'General Calc''s'!A48" display="'General Calc''s'!A48"/>
    <hyperlink ref="D9" location="'General Calc''s'!A58" display="ABV Estimators"/>
    <hyperlink ref="E9" location="'General Calc''s'!A58" display="'General Calc''s'!A58"/>
    <hyperlink ref="F9" location="'General Calc''s'!A58" display="'General Calc''s'!A58"/>
    <hyperlink ref="D10" location="'General Calc''s'!A67" display="Hydrometer Temperature Correction"/>
    <hyperlink ref="E10" location="'General Calc''s'!A67" display="'General Calc''s'!A67"/>
    <hyperlink ref="F10" location="'General Calc''s'!A67" display="'General Calc''s'!A67"/>
    <hyperlink ref="D11" location="'General Calc''s'!A75" display="°Brix, Plato, Balling &amp; Baumé"/>
    <hyperlink ref="E11" location="'General Calc''s'!A75" display="'General Calc''s'!A75"/>
    <hyperlink ref="F11" location="'General Calc''s'!A75" display="'General Calc''s'!A75"/>
    <hyperlink ref="D12" location="'General Calc''s'!A87" display="Priming Sparkling Wines, Ciders, Meads &amp; Beers"/>
    <hyperlink ref="E12" location="'General Calc''s'!A87" display="'General Calc''s'!A87"/>
    <hyperlink ref="F12" location="'General Calc''s'!A87" display="'General Calc''s'!A87"/>
    <hyperlink ref="D14" location="'General Calc''s'!A100" display="BMI &amp; Waist to Height Ratio Calculators"/>
    <hyperlink ref="E14" location="'General Calc''s'!A100" display="'General Calc''s'!A100"/>
    <hyperlink ref="F14" location="'General Calc''s'!A100" display="'General Calc''s'!A100"/>
    <hyperlink ref="D15" location="'General Calc''s'!A120" display="Safe Drinking Recommendations (UK)"/>
    <hyperlink ref="E15" location="'General Calc''s'!A120" display="'General Calc''s'!A120"/>
    <hyperlink ref="F15" location="'General Calc''s'!A120" display="'General Calc''s'!A120"/>
    <hyperlink ref="D16" location="'General Calc''s'!A135" display="Beer, Wine &amp; Spirit &amp; Alcohol Freezing Point"/>
    <hyperlink ref="E16" location="'General Calc''s'!A135" display="'General Calc''s'!A135"/>
    <hyperlink ref="F16" location="'General Calc''s'!A135" display="'General Calc''s'!A135"/>
    <hyperlink ref="D17" location="'General Calc''s'!A141" display="Making Wine &amp; Beer In Stages"/>
    <hyperlink ref="E17" location="'General Calc''s'!A141" display="'General Calc''s'!A141"/>
    <hyperlink ref="F17" location="'General Calc''s'!A141" display="'General Calc''s'!A141"/>
    <hyperlink ref="D18" location="'General Calc''s'!B150" display="Reduced Alcohol Beers &amp; Wines"/>
    <hyperlink ref="D19" location="'General Calc''s'!A162" display="Some Typical Wine Temperatures."/>
    <hyperlink ref="E19" location="'General Calc''s'!A162" display="'General Calc''s'!A162"/>
    <hyperlink ref="F19" location="'General Calc''s'!A162" display="'General Calc''s'!A162"/>
    <hyperlink ref="B21" location="'Wine &amp; Cider Calc'!J1" display="Wine &amp; Cider Calc's"/>
    <hyperlink ref="C21" location="'Wine &amp; Cider Calc'!J1" display="'Wine &amp; Cider Calc'!J1"/>
    <hyperlink ref="D22" location="'Wine &amp; Cider Calc'!D4" display="Summary for Finished Wine ̸ Cider etc."/>
    <hyperlink ref="E22" location="'Wine &amp; Cider Calc'!D4" display="'Wine &amp; Cider Calc'!D4"/>
    <hyperlink ref="F22" location="'Wine &amp; Cider Calc'!D4" display="'Wine &amp; Cider Calc'!D4"/>
    <hyperlink ref="D23" location="'Wine &amp; Cider Calc'!AC2" display="Some Typical Wine Parameters"/>
    <hyperlink ref="E23" location="'Wine &amp; Cider Calc'!AC2" display="'Wine &amp; Cider Calc'!AC2"/>
    <hyperlink ref="F23" location="'Wine &amp; Cider Calc'!AC2" display="'Wine &amp; Cider Calc'!AC2"/>
    <hyperlink ref="E24" location="'Wine &amp; Cider Calc'!I68" display="Calorie ̸ Unit Counter (Un-primed)."/>
    <hyperlink ref="F24" location="'Wine &amp; Cider Calc'!I68" display="'Wine &amp; Cider Calc'!I68"/>
    <hyperlink ref="D25" location="'Wine &amp; Cider Calc'!I78" display="Priming Ciders &amp; Sparkling Wines"/>
    <hyperlink ref="E25" location="'Wine &amp; Cider Calc'!I78" display="'Wine &amp; Cider Calc'!I78"/>
    <hyperlink ref="F25" location="'Wine &amp; Cider Calc'!I78" display="'Wine &amp; Cider Calc'!I78"/>
    <hyperlink ref="E26" location="'Wine &amp; Cider Calc'!I89" display="Calorie ̸ Unit Counter (After Priming)"/>
    <hyperlink ref="F26" location="'Wine &amp; Cider Calc'!I89" display="'Wine &amp; Cider Calc'!I89"/>
    <hyperlink ref="D27" location="'Wine &amp; Cider Calc'!J100" display="Sugar Solutions &amp; Weights"/>
    <hyperlink ref="E27" location="'Wine &amp; Cider Calc'!J100" display="'Wine &amp; Cider Calc'!J100"/>
    <hyperlink ref="F27" location="'Wine &amp; Cider Calc'!J100" display="'Wine &amp; Cider Calc'!J100"/>
    <hyperlink ref="D28" location="'Wine &amp; Cider Calc'!J113" display="Some Dried Fruit Equivalents"/>
    <hyperlink ref="E28" location="'Wine &amp; Cider Calc'!J113" display="'Wine &amp; Cider Calc'!J113"/>
    <hyperlink ref="F28" location="'Wine &amp; Cider Calc'!J113" display="'Wine &amp; Cider Calc'!J113"/>
    <hyperlink ref="D29" location="'Wine &amp; Cider Calc'!O113" display="Fortifying Wines"/>
    <hyperlink ref="E29" location="'Wine &amp; Cider Calc'!O113" display="'Wine &amp; Cider Calc'!O113"/>
    <hyperlink ref="F29" location="'Wine &amp; Cider Calc'!O113" display="'Wine &amp; Cider Calc'!O113"/>
    <hyperlink ref="D30" location="'Wine &amp; Cider Calc'!O124" display="ABV for FINISHED, DRY wines/ciders only."/>
    <hyperlink ref="E30" location="'Wine &amp; Cider Calc'!O124" display="'Wine &amp; Cider Calc'!O124"/>
    <hyperlink ref="F30" location="'Wine &amp; Cider Calc'!O124" display="'Wine &amp; Cider Calc'!O124"/>
    <hyperlink ref="D31" location="'Wine &amp; Cider Calc'!J130" display="Recipe Scaling"/>
    <hyperlink ref="E31" location="'Wine &amp; Cider Calc'!J130" display="'Wine &amp; Cider Calc'!J130"/>
    <hyperlink ref="F31" location="'Wine &amp; Cider Calc'!J130" display="'Wine &amp; Cider Calc'!J130"/>
    <hyperlink ref="D32" location="'Wine &amp; Cider Calc'!J144" display="TCP Taste ̸ Aroma"/>
    <hyperlink ref="E32" location="'Wine &amp; Cider Calc'!J144" display="'Wine &amp; Cider Calc'!J144"/>
    <hyperlink ref="F32" location="'Wine &amp; Cider Calc'!J144" display="'Wine &amp; Cider Calc'!J144"/>
    <hyperlink ref="D33" location="'Wine &amp; Cider Calc'!S159" display="F.G. &amp; ABV Predictor"/>
    <hyperlink ref="E33" location="'Wine &amp; Cider Calc'!S159" display="'Wine &amp; Cider Calc'!S159"/>
    <hyperlink ref="F33" location="'Wine &amp; Cider Calc'!S159" display="'Wine &amp; Cider Calc'!S159"/>
    <hyperlink ref="B35" location="'James'' Acid Calc'!A1" display="James' Acid Calculator"/>
    <hyperlink ref="C35" location="'James'' Acid Calc'!A1" display="'James'' Acid Calc'!A1"/>
    <hyperlink ref="B38" location="'Cocktail Calc'!F1" display="Cocktail Unit Calculator"/>
    <hyperlink ref="B41" location="'Jam'!I1" display="Jam Calculator"/>
    <hyperlink ref="F46" r:id="rId1"/>
    <hyperlink ref="F47" r:id="rId2"/>
    <hyperlink ref="F48" r:id="rId3"/>
    <hyperlink ref="F49" r:id="rId4"/>
    <hyperlink ref="D31:F31" location="'Wine &amp; Cider Calc'!J131" display="Recipe Scaling"/>
    <hyperlink ref="D32:F32" location="'Wine &amp; Cider Calc'!J145" display="TCP Taste ̸ Aroma"/>
    <hyperlink ref="D33:F33" location="'Wine &amp; Cider Calc'!S160" display="F.G. &amp; ABV Predictor"/>
    <hyperlink ref="B35:C35" location="'Jame''s Acid Calc'!C1" display="James' Acid Calculator"/>
    <hyperlink ref="D18:F18" location="'General Calc''s'!B152" display="Reduced Alcohol Beers &amp; Wines"/>
    <hyperlink ref="D19:F19" location="'General Calc''s'!A164" display="Some Typical Wine Temperatures."/>
    <hyperlink ref="D10:F10" location="'General Calc''s'!A72" display="Hydrometer Temperature Correction"/>
    <hyperlink ref="D11:F11" location="'General Calc''s'!A80" display="°Brix, Plato, Balling &amp; Baumé"/>
    <hyperlink ref="D12:F12" location="'General Calc''s'!A92" display="Priming Sparkling Wines, Ciders, Meads &amp; Beers"/>
    <hyperlink ref="D14:F14" location="'General Calc''s'!A105" display="BMI &amp; Waist to Height Ratio Calculators"/>
    <hyperlink ref="D15:F15" location="'General Calc''s'!A125" display="Safe Drinking Recommendations (UK)"/>
    <hyperlink ref="D16:F16" location="'General Calc''s'!A136" display="Beer, Wine &amp; Spirit Freezing Point"/>
    <hyperlink ref="D17:F17" location="'General Calc''s'!A142" display="Making Wine &amp; Beer In Stages"/>
    <hyperlink ref="B41:C41" location="'Jam Calc'!G1" display="Jam Calculator"/>
  </hyperlinks>
  <printOptions horizontalCentered="1"/>
  <pageMargins left="0.39370078740157483" right="0.39370078740157483" top="0.51" bottom="0.6692913385826772" header="0.23622047244094491" footer="0.59055118110236227"/>
  <pageSetup paperSize="9" scale="75" firstPageNumber="0" pageOrder="overThenDown" orientation="portrait" r:id="rId5"/>
</worksheet>
</file>

<file path=xl/worksheets/sheet2.xml><?xml version="1.0" encoding="utf-8"?>
<worksheet xmlns="http://schemas.openxmlformats.org/spreadsheetml/2006/main" xmlns:r="http://schemas.openxmlformats.org/officeDocument/2006/relationships">
  <sheetPr>
    <tabColor theme="1" tint="0.34998626667073579"/>
  </sheetPr>
  <dimension ref="A1:R192"/>
  <sheetViews>
    <sheetView topLeftCell="A47" zoomScale="75" zoomScaleNormal="75" zoomScaleSheetLayoutView="75" zoomScalePageLayoutView="75" workbookViewId="0">
      <selection activeCell="J65" sqref="J65"/>
    </sheetView>
  </sheetViews>
  <sheetFormatPr defaultColWidth="11.28515625" defaultRowHeight="15"/>
  <cols>
    <col min="1" max="1" width="4.140625" style="2" customWidth="1"/>
    <col min="2" max="2" width="30.7109375" style="2" customWidth="1"/>
    <col min="3" max="3" width="10.85546875" style="2" customWidth="1"/>
    <col min="4" max="4" width="10" style="2" customWidth="1"/>
    <col min="5" max="5" width="10.42578125" style="2" customWidth="1"/>
    <col min="6" max="7" width="10.28515625" style="2" bestFit="1" customWidth="1"/>
    <col min="8" max="8" width="10" style="2" customWidth="1"/>
    <col min="9" max="9" width="10.42578125" style="2" customWidth="1"/>
    <col min="10" max="10" width="10" style="2" customWidth="1"/>
    <col min="11" max="11" width="11.42578125" style="2" customWidth="1"/>
    <col min="12" max="12" width="11.7109375" style="2" customWidth="1"/>
    <col min="13" max="13" width="10.28515625" style="2" bestFit="1" customWidth="1"/>
    <col min="14" max="15" width="10" style="2" customWidth="1"/>
    <col min="16" max="16" width="10.28515625" style="2" customWidth="1"/>
    <col min="17" max="17" width="2.85546875" style="2" customWidth="1"/>
    <col min="18" max="18" width="3.5703125" style="1" customWidth="1"/>
    <col min="19" max="16384" width="11.28515625" style="1"/>
  </cols>
  <sheetData>
    <row r="1" spans="1:18" ht="27">
      <c r="A1" s="1368" t="s">
        <v>970</v>
      </c>
      <c r="B1" s="1368"/>
      <c r="C1" s="10"/>
      <c r="D1" s="10"/>
      <c r="E1" s="10"/>
      <c r="F1" s="1369" t="s">
        <v>855</v>
      </c>
      <c r="G1" s="1369"/>
      <c r="H1" s="1369"/>
      <c r="I1" s="1369"/>
      <c r="J1" s="1369"/>
      <c r="K1" s="10"/>
      <c r="L1" s="10"/>
      <c r="M1" s="10"/>
      <c r="N1" s="10"/>
      <c r="O1" s="1370" t="s">
        <v>969</v>
      </c>
      <c r="P1" s="1370"/>
      <c r="Q1" s="1370"/>
      <c r="R1" s="797"/>
    </row>
    <row r="2" spans="1:18" ht="13.9" customHeight="1">
      <c r="A2" s="983"/>
      <c r="B2" s="983"/>
      <c r="C2" s="24"/>
      <c r="D2" s="24"/>
      <c r="E2" s="24"/>
      <c r="F2" s="990"/>
      <c r="G2" s="990"/>
      <c r="H2" s="990"/>
      <c r="I2" s="990"/>
      <c r="J2" s="990"/>
      <c r="K2" s="24"/>
      <c r="L2" s="24"/>
      <c r="M2" s="24"/>
      <c r="N2" s="191"/>
      <c r="O2" s="1371" t="s">
        <v>36</v>
      </c>
      <c r="P2" s="1371"/>
      <c r="Q2" s="1371"/>
      <c r="R2" s="797"/>
    </row>
    <row r="3" spans="1:18" ht="15" customHeight="1">
      <c r="A3" s="1372" t="s">
        <v>44</v>
      </c>
      <c r="B3" s="1372"/>
      <c r="C3" s="990"/>
      <c r="D3" s="990"/>
      <c r="E3" s="990"/>
      <c r="F3" s="990"/>
      <c r="G3" s="990"/>
      <c r="H3" s="990"/>
      <c r="I3" s="990"/>
      <c r="J3" s="990"/>
      <c r="K3" s="990"/>
      <c r="L3" s="990"/>
      <c r="M3" s="990"/>
      <c r="N3" s="990"/>
      <c r="O3" s="990"/>
      <c r="P3" s="990"/>
      <c r="Q3" s="990"/>
      <c r="R3" s="797"/>
    </row>
    <row r="4" spans="1:18" ht="15" customHeight="1">
      <c r="A4" s="197"/>
      <c r="B4" s="46" t="s">
        <v>45</v>
      </c>
      <c r="C4" s="963" t="s">
        <v>971</v>
      </c>
      <c r="D4" s="962" t="s">
        <v>46</v>
      </c>
      <c r="E4" s="963" t="s">
        <v>972</v>
      </c>
      <c r="F4" s="964"/>
      <c r="G4" s="964"/>
      <c r="H4" s="965" t="s">
        <v>46</v>
      </c>
      <c r="I4" s="965" t="s">
        <v>973</v>
      </c>
      <c r="J4" s="965" t="s">
        <v>974</v>
      </c>
      <c r="K4" s="966"/>
      <c r="L4" s="964"/>
      <c r="M4" s="965" t="s">
        <v>46</v>
      </c>
      <c r="N4" s="965" t="s">
        <v>974</v>
      </c>
      <c r="O4" s="965" t="s">
        <v>975</v>
      </c>
      <c r="P4" s="399"/>
      <c r="Q4" s="399"/>
      <c r="R4" s="797"/>
    </row>
    <row r="5" spans="1:18" ht="15" customHeight="1">
      <c r="A5" s="115"/>
      <c r="B5" s="748" t="s">
        <v>958</v>
      </c>
      <c r="C5" s="431">
        <f>D5*0.264172</f>
        <v>6.0759560000000006</v>
      </c>
      <c r="D5" s="1026">
        <v>23</v>
      </c>
      <c r="E5" s="431">
        <f>D5*0.219969</f>
        <v>5.0592870000000003</v>
      </c>
      <c r="F5" s="990"/>
      <c r="G5" s="990"/>
      <c r="H5" s="431">
        <f>4.54609*J5</f>
        <v>18.942041666666668</v>
      </c>
      <c r="I5" s="1026">
        <v>5</v>
      </c>
      <c r="J5" s="431">
        <f>I5*(5/6)</f>
        <v>4.166666666666667</v>
      </c>
      <c r="K5" s="505"/>
      <c r="L5" s="990"/>
      <c r="M5" s="431">
        <f>4.54609*N5</f>
        <v>22.730450000000001</v>
      </c>
      <c r="N5" s="1026">
        <v>5</v>
      </c>
      <c r="O5" s="431">
        <f>N5*(6/5)</f>
        <v>6</v>
      </c>
      <c r="P5" s="399"/>
      <c r="Q5" s="399"/>
      <c r="R5" s="797"/>
    </row>
    <row r="6" spans="1:18" ht="15" customHeight="1">
      <c r="A6" s="115"/>
      <c r="B6" s="747" t="s">
        <v>47</v>
      </c>
      <c r="C6" s="505"/>
      <c r="D6" s="505"/>
      <c r="E6" s="505"/>
      <c r="F6" s="990"/>
      <c r="G6" s="990"/>
      <c r="H6" s="505"/>
      <c r="I6" s="505"/>
      <c r="J6" s="505"/>
      <c r="K6" s="505"/>
      <c r="L6" s="990"/>
      <c r="M6" s="798"/>
      <c r="N6" s="505"/>
      <c r="O6" s="505"/>
      <c r="P6" s="399"/>
      <c r="Q6" s="399"/>
      <c r="R6" s="797"/>
    </row>
    <row r="7" spans="1:18" ht="15" customHeight="1">
      <c r="A7" s="629"/>
      <c r="B7" s="745" t="s">
        <v>48</v>
      </c>
      <c r="C7" s="963" t="s">
        <v>976</v>
      </c>
      <c r="D7" s="965" t="s">
        <v>46</v>
      </c>
      <c r="E7" s="965" t="s">
        <v>977</v>
      </c>
      <c r="F7" s="964"/>
      <c r="G7" s="964"/>
      <c r="H7" s="965" t="s">
        <v>46</v>
      </c>
      <c r="I7" s="963" t="s">
        <v>976</v>
      </c>
      <c r="J7" s="965" t="s">
        <v>977</v>
      </c>
      <c r="K7" s="966"/>
      <c r="L7" s="964"/>
      <c r="M7" s="965" t="s">
        <v>46</v>
      </c>
      <c r="N7" s="965" t="s">
        <v>959</v>
      </c>
      <c r="O7" s="963" t="s">
        <v>976</v>
      </c>
      <c r="P7" s="399"/>
      <c r="Q7" s="399"/>
      <c r="R7" s="797"/>
    </row>
    <row r="8" spans="1:18" ht="15" customHeight="1">
      <c r="A8" s="629"/>
      <c r="B8" s="746" t="s">
        <v>49</v>
      </c>
      <c r="C8" s="85">
        <f>E8*6/5</f>
        <v>2.1116999999999999</v>
      </c>
      <c r="D8" s="485">
        <v>1</v>
      </c>
      <c r="E8" s="164">
        <f>D8*1.75975</f>
        <v>1.7597499999999999</v>
      </c>
      <c r="F8" s="990"/>
      <c r="G8" s="990"/>
      <c r="H8" s="431">
        <f>4.54609*J8/8</f>
        <v>22.730450000000001</v>
      </c>
      <c r="I8" s="1026">
        <v>48</v>
      </c>
      <c r="J8" s="431">
        <f>I8*(5/6)</f>
        <v>40</v>
      </c>
      <c r="K8" s="505"/>
      <c r="L8" s="990"/>
      <c r="M8" s="431">
        <f>0.568261*N8</f>
        <v>22.730440000000002</v>
      </c>
      <c r="N8" s="1026">
        <v>40</v>
      </c>
      <c r="O8" s="431">
        <f>N8*(6/5)</f>
        <v>48</v>
      </c>
      <c r="P8" s="399"/>
      <c r="Q8" s="399"/>
      <c r="R8" s="797"/>
    </row>
    <row r="9" spans="1:18" ht="15" customHeight="1">
      <c r="A9" s="629"/>
      <c r="B9" s="629"/>
      <c r="C9" s="629"/>
      <c r="D9" s="629"/>
      <c r="E9" s="629"/>
      <c r="F9" s="990"/>
      <c r="G9" s="990"/>
      <c r="H9" s="629"/>
      <c r="I9" s="629"/>
      <c r="J9" s="629"/>
      <c r="K9" s="505"/>
      <c r="L9" s="990"/>
      <c r="M9" s="629"/>
      <c r="N9" s="629"/>
      <c r="O9" s="629"/>
      <c r="P9" s="399"/>
      <c r="Q9" s="399"/>
      <c r="R9" s="797"/>
    </row>
    <row r="10" spans="1:18" ht="15" customHeight="1">
      <c r="A10" s="629"/>
      <c r="B10" s="979"/>
      <c r="C10" s="979"/>
      <c r="D10" s="979"/>
      <c r="E10" s="979"/>
      <c r="F10" s="990"/>
      <c r="G10" s="990"/>
      <c r="H10" s="979"/>
      <c r="I10" s="979"/>
      <c r="J10" s="979"/>
      <c r="K10" s="990"/>
      <c r="L10" s="990"/>
      <c r="M10" s="979"/>
      <c r="N10" s="979"/>
      <c r="O10" s="979"/>
      <c r="P10" s="399"/>
      <c r="Q10" s="399"/>
      <c r="R10" s="797"/>
    </row>
    <row r="11" spans="1:18" ht="15" customHeight="1">
      <c r="A11" s="629"/>
      <c r="B11" s="283" t="s">
        <v>50</v>
      </c>
      <c r="C11" s="984" t="s">
        <v>51</v>
      </c>
      <c r="D11" s="984" t="s">
        <v>52</v>
      </c>
      <c r="E11" s="984" t="s">
        <v>53</v>
      </c>
      <c r="F11" s="990"/>
      <c r="G11" s="990"/>
      <c r="H11" s="52" t="s">
        <v>54</v>
      </c>
      <c r="I11" s="1373" t="s">
        <v>885</v>
      </c>
      <c r="J11" s="1374"/>
      <c r="K11" s="1375"/>
      <c r="L11" s="990"/>
      <c r="M11" s="990"/>
      <c r="N11" s="990"/>
      <c r="O11" s="990"/>
      <c r="P11" s="990"/>
      <c r="Q11" s="990"/>
      <c r="R11" s="797"/>
    </row>
    <row r="12" spans="1:18" ht="15" customHeight="1">
      <c r="A12" s="629"/>
      <c r="B12" s="253" t="s">
        <v>55</v>
      </c>
      <c r="C12" s="431">
        <f>1000*D12/2.20462</f>
        <v>2948.3539113316583</v>
      </c>
      <c r="D12" s="1026">
        <v>6.5</v>
      </c>
      <c r="E12" s="431">
        <f>D12*2.20462</f>
        <v>14.330029999999999</v>
      </c>
      <c r="F12" s="990"/>
      <c r="G12" s="990"/>
      <c r="H12" s="485">
        <v>1000</v>
      </c>
      <c r="I12" s="84">
        <f>16*J12</f>
        <v>35.273368606701936</v>
      </c>
      <c r="J12" s="84">
        <f>H12/(1000*0.4536)</f>
        <v>2.204585537918871</v>
      </c>
      <c r="K12" s="977" t="str">
        <f>INT(I12/16)&amp;" lb "&amp;FIXED(I12-16*INT(I12/16))&amp;" oz"</f>
        <v>2 lb 3.27 oz</v>
      </c>
      <c r="L12" s="990"/>
      <c r="M12" s="990"/>
      <c r="N12" s="990"/>
      <c r="O12" s="990"/>
      <c r="P12" s="990"/>
      <c r="Q12" s="990"/>
      <c r="R12" s="797"/>
    </row>
    <row r="13" spans="1:18" ht="15" customHeight="1">
      <c r="A13" s="979"/>
      <c r="B13" s="979"/>
      <c r="C13" s="505"/>
      <c r="D13" s="399"/>
      <c r="E13" s="399"/>
      <c r="F13" s="990"/>
      <c r="G13" s="990"/>
      <c r="H13" s="990"/>
      <c r="I13" s="990"/>
      <c r="J13" s="990"/>
      <c r="K13" s="990"/>
      <c r="L13" s="990"/>
      <c r="M13" s="990"/>
      <c r="N13" s="990"/>
      <c r="O13" s="990"/>
      <c r="P13" s="990"/>
      <c r="Q13" s="990"/>
      <c r="R13" s="797"/>
    </row>
    <row r="14" spans="1:18" ht="15" customHeight="1">
      <c r="A14" s="979"/>
      <c r="B14" s="979"/>
      <c r="C14" s="984" t="s">
        <v>56</v>
      </c>
      <c r="D14" s="984" t="s">
        <v>52</v>
      </c>
      <c r="E14" s="984" t="s">
        <v>53</v>
      </c>
      <c r="F14" s="990"/>
      <c r="G14" s="990"/>
      <c r="H14" s="984" t="s">
        <v>51</v>
      </c>
      <c r="I14" s="984" t="s">
        <v>52</v>
      </c>
      <c r="J14" s="984" t="s">
        <v>57</v>
      </c>
      <c r="K14" s="990"/>
      <c r="L14" s="990"/>
      <c r="M14" s="146" t="s">
        <v>53</v>
      </c>
      <c r="N14" s="147" t="s">
        <v>57</v>
      </c>
      <c r="O14" s="1373" t="s">
        <v>886</v>
      </c>
      <c r="P14" s="1385"/>
      <c r="Q14" s="463"/>
      <c r="R14" s="797"/>
    </row>
    <row r="15" spans="1:18" ht="15" customHeight="1">
      <c r="A15" s="979"/>
      <c r="B15" s="979"/>
      <c r="C15" s="431">
        <f>D15/2.20462</f>
        <v>1.8143716377425589</v>
      </c>
      <c r="D15" s="1025">
        <v>4</v>
      </c>
      <c r="E15" s="432">
        <f>D15*2.20462</f>
        <v>8.8184799999999992</v>
      </c>
      <c r="F15" s="399"/>
      <c r="G15" s="990"/>
      <c r="H15" s="431">
        <f>I15/0.035274</f>
        <v>708.73731360208649</v>
      </c>
      <c r="I15" s="1026">
        <v>25</v>
      </c>
      <c r="J15" s="431">
        <f>I15*0.035274</f>
        <v>0.88185000000000002</v>
      </c>
      <c r="K15" s="990"/>
      <c r="L15" s="990"/>
      <c r="M15" s="152">
        <v>2</v>
      </c>
      <c r="N15" s="153">
        <v>8</v>
      </c>
      <c r="O15" s="52">
        <f>1000*(M15+N15/16)*0.4536</f>
        <v>1134</v>
      </c>
      <c r="P15" s="85">
        <f>O15/1000</f>
        <v>1.1339999999999999</v>
      </c>
      <c r="Q15" s="464"/>
      <c r="R15" s="797"/>
    </row>
    <row r="16" spans="1:18" ht="15" customHeight="1">
      <c r="A16" s="979"/>
      <c r="B16" s="979"/>
      <c r="C16" s="27"/>
      <c r="D16" s="27"/>
      <c r="E16" s="27"/>
      <c r="F16" s="990"/>
      <c r="G16" s="990"/>
      <c r="H16" s="979"/>
      <c r="I16" s="979"/>
      <c r="J16" s="979"/>
      <c r="K16" s="990"/>
      <c r="L16" s="990"/>
      <c r="M16" s="979"/>
      <c r="N16" s="979"/>
      <c r="O16" s="979"/>
      <c r="P16" s="979"/>
      <c r="Q16" s="979"/>
      <c r="R16" s="797"/>
    </row>
    <row r="17" spans="1:18" ht="15" customHeight="1">
      <c r="A17" s="979"/>
      <c r="B17" s="979"/>
      <c r="C17" s="52" t="s">
        <v>53</v>
      </c>
      <c r="D17" s="52" t="s">
        <v>57</v>
      </c>
      <c r="E17" s="52" t="s">
        <v>59</v>
      </c>
      <c r="F17" s="990"/>
      <c r="G17" s="990"/>
      <c r="H17" s="52" t="s">
        <v>57</v>
      </c>
      <c r="I17" s="52" t="s">
        <v>60</v>
      </c>
      <c r="J17" s="979"/>
      <c r="K17" s="990"/>
      <c r="L17" s="990"/>
      <c r="M17" s="146" t="s">
        <v>53</v>
      </c>
      <c r="N17" s="147" t="s">
        <v>57</v>
      </c>
      <c r="O17" s="52" t="s">
        <v>53</v>
      </c>
      <c r="P17" s="990"/>
      <c r="Q17" s="990"/>
      <c r="R17" s="797"/>
    </row>
    <row r="18" spans="1:18" ht="15" customHeight="1">
      <c r="A18" s="979"/>
      <c r="B18" s="979"/>
      <c r="C18" s="485">
        <v>1</v>
      </c>
      <c r="D18" s="435">
        <f>C18*16</f>
        <v>16</v>
      </c>
      <c r="E18" s="977" t="str">
        <f>INT(D18/16)&amp;" lb  "&amp;FIXED(D18-16*INT(D18/16))</f>
        <v>1 lb  0.00</v>
      </c>
      <c r="F18" s="990"/>
      <c r="G18" s="990"/>
      <c r="H18" s="178">
        <v>20</v>
      </c>
      <c r="I18" s="977" t="str">
        <f>INT(H18/16)&amp;" lb "&amp;FIXED(H18-16*INT(H18/16))&amp;" oz"</f>
        <v>1 lb 4.00 oz</v>
      </c>
      <c r="J18" s="979"/>
      <c r="K18" s="990"/>
      <c r="L18" s="990"/>
      <c r="M18" s="152">
        <v>2</v>
      </c>
      <c r="N18" s="153">
        <v>8</v>
      </c>
      <c r="O18" s="52">
        <f>M18+FIXED(N18/16)</f>
        <v>2.5</v>
      </c>
      <c r="P18" s="990"/>
      <c r="Q18" s="990"/>
      <c r="R18" s="797"/>
    </row>
    <row r="19" spans="1:18" ht="15" customHeight="1">
      <c r="A19" s="979"/>
      <c r="B19" s="979"/>
      <c r="C19" s="979"/>
      <c r="D19" s="979"/>
      <c r="E19" s="979"/>
      <c r="F19" s="990"/>
      <c r="G19" s="990"/>
      <c r="H19" s="1022"/>
      <c r="I19" s="979"/>
      <c r="J19" s="979"/>
      <c r="K19" s="990"/>
      <c r="L19" s="990"/>
      <c r="M19" s="979"/>
      <c r="N19" s="979"/>
      <c r="O19" s="979"/>
      <c r="P19" s="990"/>
      <c r="Q19" s="990"/>
      <c r="R19" s="797"/>
    </row>
    <row r="20" spans="1:18" ht="15" customHeight="1">
      <c r="A20" s="979"/>
      <c r="B20" s="979"/>
      <c r="C20" s="979"/>
      <c r="D20" s="979"/>
      <c r="E20" s="979"/>
      <c r="F20" s="990"/>
      <c r="G20" s="990"/>
      <c r="H20" s="979"/>
      <c r="I20" s="979"/>
      <c r="J20" s="979"/>
      <c r="K20" s="979"/>
      <c r="L20" s="990"/>
      <c r="M20" s="979"/>
      <c r="N20" s="979"/>
      <c r="O20" s="979"/>
      <c r="P20" s="990"/>
      <c r="Q20" s="990"/>
      <c r="R20" s="797"/>
    </row>
    <row r="21" spans="1:18" ht="15" customHeight="1">
      <c r="A21" s="1386" t="s">
        <v>61</v>
      </c>
      <c r="B21" s="1386"/>
      <c r="C21" s="403"/>
      <c r="D21" s="403"/>
      <c r="E21" s="403"/>
      <c r="F21" s="990"/>
      <c r="G21" s="990"/>
      <c r="H21" s="990"/>
      <c r="I21" s="990"/>
      <c r="J21" s="979"/>
      <c r="K21" s="979"/>
      <c r="L21" s="990"/>
      <c r="M21" s="990"/>
      <c r="N21" s="990"/>
      <c r="O21" s="990"/>
      <c r="P21" s="990"/>
      <c r="Q21" s="990"/>
      <c r="R21" s="797"/>
    </row>
    <row r="22" spans="1:18" ht="15" customHeight="1">
      <c r="A22" s="169"/>
      <c r="B22" s="190"/>
      <c r="C22" s="170" t="s">
        <v>62</v>
      </c>
      <c r="D22" s="171" t="s">
        <v>63</v>
      </c>
      <c r="E22" s="172" t="s">
        <v>64</v>
      </c>
      <c r="F22" s="171" t="s">
        <v>65</v>
      </c>
      <c r="G22" s="990"/>
      <c r="H22" s="170" t="s">
        <v>63</v>
      </c>
      <c r="I22" s="171" t="s">
        <v>62</v>
      </c>
      <c r="J22" s="172" t="s">
        <v>65</v>
      </c>
      <c r="K22" s="171" t="s">
        <v>64</v>
      </c>
      <c r="L22" s="990"/>
      <c r="M22" s="979"/>
      <c r="N22" s="979"/>
      <c r="O22" s="979"/>
      <c r="P22" s="990"/>
      <c r="Q22" s="990"/>
      <c r="R22" s="797"/>
    </row>
    <row r="23" spans="1:18" ht="15" customHeight="1">
      <c r="A23" s="169"/>
      <c r="B23" s="190"/>
      <c r="C23" s="173">
        <v>23</v>
      </c>
      <c r="D23" s="174">
        <v>2300</v>
      </c>
      <c r="E23" s="175">
        <v>19</v>
      </c>
      <c r="F23" s="177">
        <f>D23*E23/C23</f>
        <v>1900</v>
      </c>
      <c r="G23" s="990"/>
      <c r="H23" s="193">
        <v>2300</v>
      </c>
      <c r="I23" s="174">
        <v>19</v>
      </c>
      <c r="J23" s="175">
        <v>2200</v>
      </c>
      <c r="K23" s="176">
        <f>I23*J23/H23</f>
        <v>18.173913043478262</v>
      </c>
      <c r="L23" s="990"/>
      <c r="M23" s="979"/>
      <c r="N23" s="979"/>
      <c r="O23" s="979"/>
      <c r="P23" s="990"/>
      <c r="Q23" s="990"/>
      <c r="R23" s="797"/>
    </row>
    <row r="24" spans="1:18" ht="15" customHeight="1">
      <c r="A24" s="169"/>
      <c r="B24" s="190"/>
      <c r="C24" s="190"/>
      <c r="D24" s="190"/>
      <c r="E24" s="190"/>
      <c r="F24" s="190"/>
      <c r="G24" s="190"/>
      <c r="H24" s="190"/>
      <c r="I24" s="190"/>
      <c r="J24" s="190"/>
      <c r="K24" s="190"/>
      <c r="L24" s="190"/>
      <c r="M24" s="190"/>
      <c r="N24" s="190"/>
      <c r="O24" s="190"/>
      <c r="P24" s="190"/>
      <c r="Q24" s="190"/>
      <c r="R24" s="797"/>
    </row>
    <row r="25" spans="1:18" ht="15" customHeight="1">
      <c r="A25" s="169"/>
      <c r="B25" s="190"/>
      <c r="C25" s="190"/>
      <c r="D25" s="190"/>
      <c r="E25" s="191"/>
      <c r="F25" s="190"/>
      <c r="G25" s="190"/>
      <c r="H25" s="190"/>
      <c r="I25" s="190"/>
      <c r="J25" s="190"/>
      <c r="K25" s="190"/>
      <c r="L25" s="190"/>
      <c r="M25" s="190"/>
      <c r="N25" s="190"/>
      <c r="O25" s="190"/>
      <c r="P25" s="190"/>
      <c r="Q25" s="190"/>
      <c r="R25" s="797"/>
    </row>
    <row r="26" spans="1:18" ht="15" customHeight="1">
      <c r="A26" s="979"/>
      <c r="B26" s="211" t="s">
        <v>66</v>
      </c>
      <c r="C26" s="382" t="s">
        <v>67</v>
      </c>
      <c r="D26" s="382" t="s">
        <v>68</v>
      </c>
      <c r="E26" s="961" t="s">
        <v>978</v>
      </c>
      <c r="F26" s="190"/>
      <c r="G26" s="190"/>
      <c r="H26" s="8" t="s">
        <v>69</v>
      </c>
      <c r="I26" s="382" t="s">
        <v>68</v>
      </c>
      <c r="J26" s="961" t="s">
        <v>979</v>
      </c>
      <c r="K26" s="190"/>
      <c r="L26" s="190"/>
      <c r="M26" s="391" t="s">
        <v>70</v>
      </c>
      <c r="N26" s="391" t="s">
        <v>71</v>
      </c>
      <c r="O26" s="968" t="s">
        <v>980</v>
      </c>
      <c r="P26" s="990"/>
      <c r="Q26" s="990"/>
      <c r="R26" s="797"/>
    </row>
    <row r="27" spans="1:18" ht="15" customHeight="1">
      <c r="A27" s="979"/>
      <c r="B27" s="979"/>
      <c r="C27" s="164">
        <f>D27*0.09977637</f>
        <v>9.9776370000000003E-2</v>
      </c>
      <c r="D27" s="1025">
        <v>1</v>
      </c>
      <c r="E27" s="980">
        <f>D27*10.022413122466</f>
        <v>10.022413122466</v>
      </c>
      <c r="F27" s="190"/>
      <c r="G27" s="190"/>
      <c r="H27" s="980">
        <f>I27/0.02004</f>
        <v>49.900199600798409</v>
      </c>
      <c r="I27" s="1025">
        <v>1</v>
      </c>
      <c r="J27" s="164">
        <f>I27*0.02004</f>
        <v>2.0039999999999999E-2</v>
      </c>
      <c r="K27" s="190"/>
      <c r="L27" s="190"/>
      <c r="M27" s="980">
        <f>N27*28.41306</f>
        <v>28.413060000000002</v>
      </c>
      <c r="N27" s="485">
        <v>1</v>
      </c>
      <c r="O27" s="164">
        <f>N27/28.41306</f>
        <v>3.5195082824588407E-2</v>
      </c>
      <c r="P27" s="990"/>
      <c r="Q27" s="990"/>
      <c r="R27" s="797"/>
    </row>
    <row r="28" spans="1:18" ht="15" customHeight="1">
      <c r="A28" s="979"/>
      <c r="B28" s="979"/>
      <c r="C28" s="629"/>
      <c r="D28" s="629"/>
      <c r="E28" s="629"/>
      <c r="F28" s="190"/>
      <c r="G28" s="190"/>
      <c r="H28" s="629"/>
      <c r="I28" s="629"/>
      <c r="J28" s="629"/>
      <c r="K28" s="190"/>
      <c r="L28" s="190"/>
      <c r="M28" s="629"/>
      <c r="N28" s="629"/>
      <c r="O28" s="629"/>
      <c r="P28" s="990"/>
      <c r="Q28" s="990"/>
      <c r="R28" s="797"/>
    </row>
    <row r="29" spans="1:18" ht="15" customHeight="1">
      <c r="A29" s="979"/>
      <c r="B29" s="194" t="s">
        <v>984</v>
      </c>
      <c r="C29" s="382" t="s">
        <v>67</v>
      </c>
      <c r="D29" s="382" t="s">
        <v>68</v>
      </c>
      <c r="E29" s="961" t="s">
        <v>983</v>
      </c>
      <c r="F29" s="190"/>
      <c r="G29" s="190"/>
      <c r="H29" s="8" t="s">
        <v>69</v>
      </c>
      <c r="I29" s="460" t="s">
        <v>72</v>
      </c>
      <c r="J29" s="969" t="s">
        <v>982</v>
      </c>
      <c r="K29" s="190"/>
      <c r="L29" s="190"/>
      <c r="M29" s="391" t="s">
        <v>70</v>
      </c>
      <c r="N29" s="391" t="s">
        <v>71</v>
      </c>
      <c r="O29" s="968" t="s">
        <v>981</v>
      </c>
      <c r="P29" s="990"/>
      <c r="Q29" s="990"/>
      <c r="R29" s="797"/>
    </row>
    <row r="30" spans="1:18" ht="15" customHeight="1">
      <c r="A30" s="979"/>
      <c r="B30" s="629"/>
      <c r="C30" s="980">
        <f>D30*0.1198264</f>
        <v>0.1198264</v>
      </c>
      <c r="D30" s="1025">
        <v>1</v>
      </c>
      <c r="E30" s="85">
        <f>D30*8.3454063545262</f>
        <v>8.3454063545261992</v>
      </c>
      <c r="F30" s="629"/>
      <c r="G30" s="190"/>
      <c r="H30" s="461">
        <f>I30*59.913</f>
        <v>59.912999999999997</v>
      </c>
      <c r="I30" s="193">
        <v>1</v>
      </c>
      <c r="J30" s="431">
        <f>I30*0.016691</f>
        <v>1.6691000000000001E-2</v>
      </c>
      <c r="K30" s="190"/>
      <c r="L30" s="190"/>
      <c r="M30" s="980">
        <f>N30*29.57353</f>
        <v>29.573530000000002</v>
      </c>
      <c r="N30" s="485">
        <v>1</v>
      </c>
      <c r="O30" s="165">
        <f>N30/29.57353</f>
        <v>3.3814022201610693E-2</v>
      </c>
      <c r="P30" s="990"/>
      <c r="Q30" s="990"/>
      <c r="R30" s="797"/>
    </row>
    <row r="31" spans="1:18" ht="15" customHeight="1">
      <c r="A31" s="979"/>
      <c r="B31" s="629"/>
      <c r="C31" s="629"/>
      <c r="D31" s="629"/>
      <c r="E31" s="629"/>
      <c r="F31" s="629"/>
      <c r="G31" s="629"/>
      <c r="H31" s="1279" t="str">
        <f>1*FIXED(I30)&amp;" g ̸ litre = "&amp;1*FIXED(J30,3)&amp;" oz ̸ pt US"</f>
        <v>1 g ̸ litre = 0.017 oz ̸ pt US</v>
      </c>
      <c r="I31" s="1279"/>
      <c r="J31" s="1279"/>
      <c r="K31" s="629"/>
      <c r="L31" s="629"/>
      <c r="M31" s="629"/>
      <c r="N31" s="629"/>
      <c r="O31" s="629"/>
      <c r="P31" s="990"/>
      <c r="Q31" s="990"/>
      <c r="R31" s="797"/>
    </row>
    <row r="32" spans="1:18" ht="15" customHeight="1">
      <c r="A32" s="979"/>
      <c r="B32" s="629"/>
      <c r="C32" s="629"/>
      <c r="D32" s="629"/>
      <c r="E32" s="629"/>
      <c r="F32" s="629"/>
      <c r="G32" s="629"/>
      <c r="H32" s="1387" t="str">
        <f>1*FIXED(I30)&amp;" oz ̸ pt US = "&amp;1*FIXED(H30,2)&amp;" g ̸ litre"</f>
        <v>1 oz ̸ pt US = 59.91 g ̸ litre</v>
      </c>
      <c r="I32" s="1387"/>
      <c r="J32" s="1387"/>
      <c r="K32" s="629"/>
      <c r="L32" s="629"/>
      <c r="M32" s="967" t="s">
        <v>957</v>
      </c>
      <c r="N32" s="984" t="s">
        <v>73</v>
      </c>
      <c r="O32" s="967" t="s">
        <v>981</v>
      </c>
      <c r="P32" s="990"/>
      <c r="Q32" s="990"/>
      <c r="R32" s="797"/>
    </row>
    <row r="33" spans="1:18" ht="15" customHeight="1">
      <c r="A33" s="979"/>
      <c r="B33" s="629"/>
      <c r="C33" s="629"/>
      <c r="D33" s="629"/>
      <c r="E33" s="629"/>
      <c r="F33" s="629"/>
      <c r="G33" s="629"/>
      <c r="H33" s="629"/>
      <c r="I33" s="629"/>
      <c r="J33" s="629"/>
      <c r="K33" s="629"/>
      <c r="L33" s="629"/>
      <c r="M33" s="431">
        <f>N33/0.96076</f>
        <v>1.0408426662225738</v>
      </c>
      <c r="N33" s="1026">
        <v>1</v>
      </c>
      <c r="O33" s="431">
        <f>N33*0.96076</f>
        <v>0.96075999999999995</v>
      </c>
      <c r="P33" s="990"/>
      <c r="Q33" s="990"/>
      <c r="R33" s="797"/>
    </row>
    <row r="34" spans="1:18" ht="15" customHeight="1">
      <c r="A34" s="979"/>
      <c r="B34" s="629"/>
      <c r="C34" s="629"/>
      <c r="D34" s="629"/>
      <c r="E34" s="629"/>
      <c r="F34" s="629"/>
      <c r="G34" s="629"/>
      <c r="H34" s="629"/>
      <c r="I34" s="629"/>
      <c r="J34" s="629"/>
      <c r="K34" s="629"/>
      <c r="L34" s="629"/>
      <c r="M34" s="629"/>
      <c r="N34" s="629"/>
      <c r="O34" s="629"/>
      <c r="P34" s="990"/>
      <c r="Q34" s="990"/>
      <c r="R34" s="797"/>
    </row>
    <row r="35" spans="1:18" ht="15" customHeight="1">
      <c r="A35" s="1182" t="s">
        <v>74</v>
      </c>
      <c r="B35" s="1182"/>
      <c r="C35" s="1182"/>
      <c r="D35" s="990"/>
      <c r="E35" s="990"/>
      <c r="F35" s="990"/>
      <c r="G35" s="990"/>
      <c r="H35" s="990"/>
      <c r="I35" s="990"/>
      <c r="J35" s="990"/>
      <c r="K35" s="990"/>
      <c r="L35" s="990"/>
      <c r="M35" s="990"/>
      <c r="N35" s="990"/>
      <c r="O35" s="990"/>
      <c r="P35" s="990"/>
      <c r="Q35" s="990"/>
      <c r="R35" s="797"/>
    </row>
    <row r="36" spans="1:18" ht="15" customHeight="1">
      <c r="A36" s="400"/>
      <c r="B36" s="401"/>
      <c r="C36" s="1388" t="s">
        <v>75</v>
      </c>
      <c r="D36" s="1388"/>
      <c r="E36" s="1388" t="s">
        <v>76</v>
      </c>
      <c r="F36" s="1388"/>
      <c r="G36" s="1388" t="s">
        <v>77</v>
      </c>
      <c r="H36" s="1388"/>
      <c r="I36" s="1388" t="s">
        <v>78</v>
      </c>
      <c r="J36" s="1388"/>
      <c r="K36" s="1388" t="s">
        <v>79</v>
      </c>
      <c r="L36" s="1388"/>
      <c r="M36" s="1376" t="s">
        <v>80</v>
      </c>
      <c r="N36" s="1377"/>
      <c r="O36" s="1377"/>
      <c r="P36" s="1377"/>
      <c r="Q36" s="990"/>
      <c r="R36" s="797"/>
    </row>
    <row r="37" spans="1:18" ht="15" customHeight="1">
      <c r="A37" s="399"/>
      <c r="B37" s="399"/>
      <c r="C37" s="1379">
        <v>1080</v>
      </c>
      <c r="D37" s="1379"/>
      <c r="E37" s="1379">
        <v>1070</v>
      </c>
      <c r="F37" s="1379"/>
      <c r="G37" s="1380">
        <v>4.3</v>
      </c>
      <c r="H37" s="1381"/>
      <c r="I37" s="1382">
        <f>K37-G37</f>
        <v>0.61428571428571477</v>
      </c>
      <c r="J37" s="1382"/>
      <c r="K37" s="1383">
        <f>G37*(C37-1000)/(E37-1000)</f>
        <v>4.9142857142857146</v>
      </c>
      <c r="L37" s="1384"/>
      <c r="M37" s="1378"/>
      <c r="N37" s="1377"/>
      <c r="O37" s="1377"/>
      <c r="P37" s="1377"/>
      <c r="Q37" s="990"/>
      <c r="R37" s="797"/>
    </row>
    <row r="38" spans="1:18" ht="15" customHeight="1">
      <c r="A38" s="990"/>
      <c r="B38" s="990"/>
      <c r="C38" s="1363" t="s">
        <v>81</v>
      </c>
      <c r="D38" s="1363"/>
      <c r="E38" s="1363"/>
      <c r="F38" s="1363"/>
      <c r="G38" s="1363"/>
      <c r="H38" s="1363"/>
      <c r="I38" s="990"/>
      <c r="J38" s="629"/>
      <c r="K38" s="629"/>
      <c r="L38" s="629"/>
      <c r="M38" s="629"/>
      <c r="N38" s="629"/>
      <c r="O38" s="693"/>
      <c r="P38" s="693"/>
      <c r="Q38" s="693"/>
      <c r="R38" s="797"/>
    </row>
    <row r="39" spans="1:18" ht="15" customHeight="1">
      <c r="A39" s="979"/>
      <c r="B39" s="629"/>
      <c r="C39" s="629"/>
      <c r="D39" s="629"/>
      <c r="E39" s="629"/>
      <c r="F39" s="629"/>
      <c r="G39" s="629"/>
      <c r="H39" s="629"/>
      <c r="I39" s="629"/>
      <c r="J39" s="629"/>
      <c r="K39" s="629"/>
      <c r="L39" s="629"/>
      <c r="M39" s="629"/>
      <c r="N39" s="629"/>
      <c r="O39" s="629"/>
      <c r="P39" s="990"/>
      <c r="Q39" s="990"/>
      <c r="R39" s="797"/>
    </row>
    <row r="40" spans="1:18" ht="15" customHeight="1">
      <c r="A40" s="1364" t="s">
        <v>82</v>
      </c>
      <c r="B40" s="1364"/>
      <c r="C40" s="307"/>
      <c r="D40" s="307"/>
      <c r="E40" s="307"/>
      <c r="F40" s="307"/>
      <c r="G40" s="307"/>
      <c r="H40" s="307"/>
      <c r="I40" s="307"/>
      <c r="J40" s="307"/>
      <c r="K40" s="307"/>
      <c r="L40" s="307"/>
      <c r="M40" s="307"/>
      <c r="N40" s="307"/>
      <c r="O40" s="307"/>
      <c r="P40" s="307"/>
      <c r="Q40" s="307"/>
      <c r="R40" s="797"/>
    </row>
    <row r="41" spans="1:18" ht="15" customHeight="1">
      <c r="A41" s="46"/>
      <c r="B41" s="191"/>
      <c r="C41" s="1365" t="s">
        <v>83</v>
      </c>
      <c r="D41" s="1365"/>
      <c r="E41" s="978">
        <v>1080</v>
      </c>
      <c r="F41" s="1366" t="s">
        <v>84</v>
      </c>
      <c r="G41" s="1366"/>
      <c r="H41" s="978">
        <v>4.3</v>
      </c>
      <c r="I41" s="1366" t="str">
        <f>"litres, is eqiuvalent to SG "&amp;FIXED((1+(E41-1000)/1000*H41/L41),4)*1000&amp;" for"</f>
        <v>litres, is eqiuvalent to SG 1070.1 for</v>
      </c>
      <c r="J41" s="1366"/>
      <c r="K41" s="1366"/>
      <c r="L41" s="978">
        <v>4.91</v>
      </c>
      <c r="M41" s="1367" t="s">
        <v>85</v>
      </c>
      <c r="N41" s="1085"/>
      <c r="O41" s="191"/>
      <c r="P41" s="990"/>
      <c r="Q41" s="990"/>
      <c r="R41" s="797"/>
    </row>
    <row r="42" spans="1:18" ht="15" customHeight="1">
      <c r="A42" s="190"/>
      <c r="B42" s="190"/>
      <c r="C42" s="192"/>
      <c r="D42" s="190"/>
      <c r="E42" s="190"/>
      <c r="F42" s="190"/>
      <c r="G42" s="190"/>
      <c r="H42" s="190"/>
      <c r="I42" s="190"/>
      <c r="J42" s="190"/>
      <c r="K42" s="190"/>
      <c r="L42" s="190"/>
      <c r="M42" s="190"/>
      <c r="N42" s="190"/>
      <c r="O42" s="190"/>
      <c r="P42" s="190"/>
      <c r="Q42" s="190"/>
      <c r="R42" s="797"/>
    </row>
    <row r="43" spans="1:18" ht="15" customHeight="1">
      <c r="A43" s="190"/>
      <c r="B43" s="190"/>
      <c r="C43" s="192"/>
      <c r="D43" s="190"/>
      <c r="E43" s="190"/>
      <c r="F43" s="190"/>
      <c r="G43" s="190"/>
      <c r="H43" s="190"/>
      <c r="I43" s="190"/>
      <c r="J43" s="190"/>
      <c r="K43" s="190"/>
      <c r="L43" s="190"/>
      <c r="M43" s="190"/>
      <c r="N43" s="190"/>
      <c r="O43" s="190"/>
      <c r="P43" s="190"/>
      <c r="Q43" s="190"/>
      <c r="R43" s="797"/>
    </row>
    <row r="44" spans="1:18" ht="15" customHeight="1">
      <c r="A44" s="979"/>
      <c r="B44" s="185" t="s">
        <v>86</v>
      </c>
      <c r="C44" s="52" t="s">
        <v>913</v>
      </c>
      <c r="D44" s="52" t="s">
        <v>88</v>
      </c>
      <c r="E44" s="52" t="s">
        <v>914</v>
      </c>
      <c r="F44" s="190"/>
      <c r="G44" s="190"/>
      <c r="H44" s="190"/>
      <c r="I44" s="190"/>
      <c r="J44" s="190"/>
      <c r="K44" s="190"/>
      <c r="L44" s="190"/>
      <c r="M44" s="190"/>
      <c r="N44" s="190"/>
      <c r="O44" s="190"/>
      <c r="P44" s="190"/>
      <c r="Q44" s="190"/>
      <c r="R44" s="797"/>
    </row>
    <row r="45" spans="1:18" ht="15" customHeight="1">
      <c r="A45" s="979"/>
      <c r="B45" s="629"/>
      <c r="C45" s="32">
        <f>((D45+40)*5/9)-40</f>
        <v>-6.6666666666666643</v>
      </c>
      <c r="D45" s="485">
        <v>20</v>
      </c>
      <c r="E45" s="52">
        <f>((D45+40)*9/5)-40</f>
        <v>68</v>
      </c>
      <c r="F45" s="190"/>
      <c r="G45" s="190"/>
      <c r="H45" s="190"/>
      <c r="I45" s="190"/>
      <c r="J45" s="190"/>
      <c r="K45" s="190"/>
      <c r="L45" s="190"/>
      <c r="M45" s="990"/>
      <c r="N45" s="990"/>
      <c r="O45" s="990"/>
      <c r="P45" s="990"/>
      <c r="Q45" s="990"/>
      <c r="R45" s="797"/>
    </row>
    <row r="46" spans="1:18" ht="15" customHeight="1">
      <c r="A46" s="538"/>
      <c r="B46" s="629"/>
      <c r="C46" s="629"/>
      <c r="D46" s="629"/>
      <c r="E46" s="629"/>
      <c r="F46" s="190"/>
      <c r="G46" s="190"/>
      <c r="H46" s="190"/>
      <c r="I46" s="190"/>
      <c r="J46" s="190"/>
      <c r="K46" s="190"/>
      <c r="L46" s="190"/>
      <c r="M46" s="629"/>
      <c r="N46" s="629"/>
      <c r="O46" s="629"/>
      <c r="P46" s="629"/>
      <c r="Q46" s="629"/>
      <c r="R46" s="797"/>
    </row>
    <row r="47" spans="1:18" ht="15" customHeight="1">
      <c r="A47" s="46"/>
      <c r="B47" s="46"/>
      <c r="C47" s="46"/>
      <c r="D47" s="46"/>
      <c r="E47" s="46"/>
      <c r="F47" s="190"/>
      <c r="G47" s="190"/>
      <c r="H47" s="190"/>
      <c r="I47" s="190"/>
      <c r="J47" s="190"/>
      <c r="K47" s="190"/>
      <c r="L47" s="190"/>
      <c r="M47" s="46"/>
      <c r="N47" s="46"/>
      <c r="O47" s="46"/>
      <c r="P47" s="46"/>
      <c r="Q47" s="46"/>
      <c r="R47" s="797"/>
    </row>
    <row r="48" spans="1:18" ht="15" customHeight="1">
      <c r="A48" s="1355" t="s">
        <v>954</v>
      </c>
      <c r="B48" s="1355"/>
      <c r="C48" s="46"/>
      <c r="D48" s="46"/>
      <c r="E48" s="46"/>
      <c r="F48" s="190"/>
      <c r="G48" s="190"/>
      <c r="H48" s="190"/>
      <c r="I48" s="190"/>
      <c r="J48" s="190"/>
      <c r="K48" s="228"/>
      <c r="L48" s="228"/>
      <c r="M48" s="1356" t="s">
        <v>955</v>
      </c>
      <c r="N48" s="1356"/>
      <c r="O48" s="1356"/>
      <c r="P48" s="631"/>
      <c r="Q48" s="629"/>
      <c r="R48" s="797"/>
    </row>
    <row r="49" spans="1:18" ht="15" customHeight="1">
      <c r="A49" s="629"/>
      <c r="B49" s="629"/>
      <c r="C49" s="114" t="s">
        <v>89</v>
      </c>
      <c r="D49" s="161" t="s">
        <v>915</v>
      </c>
      <c r="E49" s="391" t="s">
        <v>90</v>
      </c>
      <c r="F49" s="190"/>
      <c r="G49" s="190"/>
      <c r="H49" s="114" t="s">
        <v>89</v>
      </c>
      <c r="I49" s="825" t="s">
        <v>953</v>
      </c>
      <c r="J49" s="391" t="s">
        <v>90</v>
      </c>
      <c r="K49" s="629"/>
      <c r="L49" s="629"/>
      <c r="M49" s="161" t="s">
        <v>915</v>
      </c>
      <c r="N49" s="391" t="s">
        <v>91</v>
      </c>
      <c r="O49" s="825" t="s">
        <v>953</v>
      </c>
      <c r="P49" s="629"/>
      <c r="Q49" s="629"/>
      <c r="R49" s="797"/>
    </row>
    <row r="50" spans="1:18" ht="15" customHeight="1">
      <c r="A50" s="629"/>
      <c r="B50" s="33"/>
      <c r="C50" s="34">
        <f>D50*4/7</f>
        <v>40</v>
      </c>
      <c r="D50" s="485">
        <v>70</v>
      </c>
      <c r="E50" s="34">
        <f>100*K167/L167</f>
        <v>34.480649951952479</v>
      </c>
      <c r="F50" s="190"/>
      <c r="G50" s="190"/>
      <c r="H50" s="34">
        <f>I50/2</f>
        <v>40</v>
      </c>
      <c r="I50" s="485">
        <v>80</v>
      </c>
      <c r="J50" s="34">
        <f>100*K168/L168</f>
        <v>34.480649951952479</v>
      </c>
      <c r="K50" s="629"/>
      <c r="L50" s="629"/>
      <c r="M50" s="960">
        <f>N50*7/8</f>
        <v>61.25</v>
      </c>
      <c r="N50" s="485">
        <v>70</v>
      </c>
      <c r="O50" s="977">
        <f>N50*8/7</f>
        <v>80</v>
      </c>
      <c r="P50" s="629"/>
      <c r="Q50" s="629"/>
      <c r="R50" s="797"/>
    </row>
    <row r="51" spans="1:18" ht="15" customHeight="1">
      <c r="A51" s="629"/>
      <c r="B51" s="629"/>
      <c r="C51" s="979"/>
      <c r="D51" s="537"/>
      <c r="E51" s="979"/>
      <c r="F51" s="190"/>
      <c r="G51" s="190"/>
      <c r="H51" s="142"/>
      <c r="I51" s="142"/>
      <c r="J51" s="629"/>
      <c r="K51" s="629"/>
      <c r="L51" s="629"/>
      <c r="M51" s="629"/>
      <c r="N51" s="629"/>
      <c r="O51" s="629"/>
      <c r="P51" s="629"/>
      <c r="Q51" s="629"/>
      <c r="R51" s="797"/>
    </row>
    <row r="52" spans="1:18" ht="15" customHeight="1">
      <c r="A52" s="629"/>
      <c r="B52" s="985" t="s">
        <v>92</v>
      </c>
      <c r="C52" s="391" t="s">
        <v>89</v>
      </c>
      <c r="D52" s="391" t="s">
        <v>90</v>
      </c>
      <c r="E52" s="161" t="s">
        <v>915</v>
      </c>
      <c r="F52" s="825" t="s">
        <v>953</v>
      </c>
      <c r="G52" s="142"/>
      <c r="H52" s="142"/>
      <c r="I52" s="142"/>
      <c r="J52" s="1357" t="s">
        <v>93</v>
      </c>
      <c r="K52" s="1357"/>
      <c r="L52" s="1358"/>
      <c r="M52" s="114" t="s">
        <v>90</v>
      </c>
      <c r="N52" s="391" t="s">
        <v>89</v>
      </c>
      <c r="O52" s="161" t="s">
        <v>915</v>
      </c>
      <c r="P52" s="825" t="s">
        <v>953</v>
      </c>
      <c r="Q52" s="629"/>
      <c r="R52" s="797"/>
    </row>
    <row r="53" spans="1:18" ht="15" customHeight="1">
      <c r="A53" s="979"/>
      <c r="B53" s="979"/>
      <c r="C53" s="40">
        <v>3.4</v>
      </c>
      <c r="D53" s="34">
        <f>100*K170/L170</f>
        <v>2.703316829828303</v>
      </c>
      <c r="E53" s="113">
        <f>C53*7/4</f>
        <v>5.95</v>
      </c>
      <c r="F53" s="960">
        <f>E53*8/7</f>
        <v>6.8</v>
      </c>
      <c r="G53" s="142"/>
      <c r="H53" s="142"/>
      <c r="I53" s="142"/>
      <c r="J53" s="1359" t="s">
        <v>94</v>
      </c>
      <c r="K53" s="1359"/>
      <c r="L53" s="1360"/>
      <c r="M53" s="1025">
        <v>100</v>
      </c>
      <c r="N53" s="1033">
        <f>M53/(M166)</f>
        <v>100</v>
      </c>
      <c r="O53" s="113">
        <f>N53*7/4</f>
        <v>175</v>
      </c>
      <c r="P53" s="34">
        <f>O53*8/7</f>
        <v>200</v>
      </c>
      <c r="Q53" s="629"/>
      <c r="R53" s="797"/>
    </row>
    <row r="54" spans="1:18" ht="15" customHeight="1">
      <c r="A54" s="979"/>
      <c r="B54" s="979"/>
      <c r="C54" s="463"/>
      <c r="D54" s="109"/>
      <c r="E54" s="109"/>
      <c r="F54" s="109"/>
      <c r="G54" s="142"/>
      <c r="H54" s="142"/>
      <c r="I54" s="142"/>
      <c r="J54" s="108"/>
      <c r="K54" s="463"/>
      <c r="L54" s="109"/>
      <c r="M54" s="109"/>
      <c r="N54" s="109"/>
      <c r="O54" s="976"/>
      <c r="P54" s="990"/>
      <c r="Q54" s="629"/>
      <c r="R54" s="797"/>
    </row>
    <row r="55" spans="1:18" ht="15" customHeight="1">
      <c r="A55" s="979"/>
      <c r="B55" s="1361" t="s">
        <v>956</v>
      </c>
      <c r="C55" s="1361"/>
      <c r="D55" s="1361"/>
      <c r="E55" s="1361"/>
      <c r="F55" s="1361"/>
      <c r="G55" s="1361"/>
      <c r="H55" s="1361"/>
      <c r="I55" s="1361"/>
      <c r="J55" s="1361"/>
      <c r="K55" s="1361"/>
      <c r="L55" s="1361"/>
      <c r="M55" s="1361"/>
      <c r="N55" s="1361"/>
      <c r="O55" s="1361"/>
      <c r="P55" s="1361"/>
      <c r="Q55" s="1361"/>
      <c r="R55" s="826"/>
    </row>
    <row r="56" spans="1:18" ht="15" customHeight="1">
      <c r="A56" s="979"/>
      <c r="B56" s="979"/>
      <c r="C56" s="979"/>
      <c r="D56" s="979"/>
      <c r="E56" s="979"/>
      <c r="F56" s="979"/>
      <c r="G56" s="979"/>
      <c r="H56" s="979"/>
      <c r="I56" s="979"/>
      <c r="J56" s="979"/>
      <c r="K56" s="979"/>
      <c r="L56" s="979"/>
      <c r="M56" s="979"/>
      <c r="N56" s="979"/>
      <c r="O56" s="979"/>
      <c r="P56" s="979"/>
      <c r="Q56" s="979"/>
      <c r="R56" s="979"/>
    </row>
    <row r="57" spans="1:18" ht="15" customHeight="1">
      <c r="A57" s="979"/>
      <c r="B57" s="979"/>
      <c r="C57" s="979"/>
      <c r="D57" s="979"/>
      <c r="E57" s="979"/>
      <c r="F57" s="979"/>
      <c r="G57" s="979"/>
      <c r="H57" s="979"/>
      <c r="I57" s="979"/>
      <c r="J57" s="979"/>
      <c r="K57" s="979"/>
      <c r="L57" s="979"/>
      <c r="M57" s="979"/>
      <c r="N57" s="979"/>
      <c r="O57" s="979"/>
      <c r="P57" s="979"/>
      <c r="Q57" s="979"/>
      <c r="R57" s="979"/>
    </row>
    <row r="58" spans="1:18" ht="15" customHeight="1">
      <c r="A58" s="1362" t="s">
        <v>896</v>
      </c>
      <c r="B58" s="1362"/>
      <c r="C58" s="1362"/>
      <c r="D58" s="1362"/>
      <c r="E58" s="1362"/>
      <c r="F58" s="1362"/>
      <c r="G58" s="1362"/>
      <c r="H58" s="1362"/>
      <c r="I58" s="1362"/>
      <c r="J58" s="1362"/>
      <c r="K58" s="1362"/>
      <c r="L58" s="1362"/>
      <c r="M58" s="1362"/>
      <c r="N58" s="46"/>
      <c r="O58" s="726"/>
      <c r="P58" s="46"/>
      <c r="Q58" s="629"/>
      <c r="R58" s="797"/>
    </row>
    <row r="59" spans="1:18" ht="15" customHeight="1">
      <c r="A59" s="698"/>
      <c r="B59" s="698"/>
      <c r="C59" s="1350" t="s">
        <v>904</v>
      </c>
      <c r="D59" s="1350"/>
      <c r="E59" s="1350"/>
      <c r="F59" s="46"/>
      <c r="G59" s="699"/>
      <c r="H59" s="699"/>
      <c r="I59" s="699"/>
      <c r="J59" s="252" t="s">
        <v>911</v>
      </c>
      <c r="K59" s="1351" t="s">
        <v>897</v>
      </c>
      <c r="L59" s="1352"/>
      <c r="M59" s="308" t="s">
        <v>912</v>
      </c>
      <c r="N59" s="768"/>
      <c r="O59" s="769"/>
      <c r="P59" s="769"/>
      <c r="Q59" s="699"/>
      <c r="R59" s="699"/>
    </row>
    <row r="60" spans="1:18" ht="15" customHeight="1">
      <c r="A60" s="698"/>
      <c r="B60" s="698"/>
      <c r="C60" s="1344" t="s">
        <v>95</v>
      </c>
      <c r="D60" s="1345"/>
      <c r="E60" s="702">
        <v>1041</v>
      </c>
      <c r="F60" s="46"/>
      <c r="G60" s="727"/>
      <c r="H60" s="699"/>
      <c r="I60" s="699"/>
      <c r="J60" s="700">
        <v>20</v>
      </c>
      <c r="K60" s="1338" t="s">
        <v>97</v>
      </c>
      <c r="L60" s="1339"/>
      <c r="M60" s="701">
        <v>68</v>
      </c>
      <c r="N60" s="1353" t="s">
        <v>910</v>
      </c>
      <c r="O60" s="1354"/>
      <c r="P60" s="1354"/>
      <c r="Q60" s="711"/>
      <c r="R60" s="711"/>
    </row>
    <row r="61" spans="1:18" ht="15" customHeight="1">
      <c r="A61" s="698"/>
      <c r="B61" s="698"/>
      <c r="C61" s="1348" t="s">
        <v>96</v>
      </c>
      <c r="D61" s="1349"/>
      <c r="E61" s="705">
        <v>993</v>
      </c>
      <c r="F61" s="46"/>
      <c r="G61" s="699"/>
      <c r="H61" s="699"/>
      <c r="I61" s="699"/>
      <c r="J61" s="703">
        <v>20</v>
      </c>
      <c r="K61" s="1342" t="s">
        <v>634</v>
      </c>
      <c r="L61" s="1343"/>
      <c r="M61" s="704">
        <v>70</v>
      </c>
      <c r="N61" s="1353"/>
      <c r="O61" s="1354"/>
      <c r="P61" s="1354"/>
      <c r="Q61" s="711"/>
      <c r="R61" s="711"/>
    </row>
    <row r="62" spans="1:18" ht="14.45" customHeight="1">
      <c r="A62" s="698"/>
      <c r="B62" s="728"/>
      <c r="C62" s="1327" t="s">
        <v>899</v>
      </c>
      <c r="D62" s="1328"/>
      <c r="E62" s="717">
        <f>(E60-E61)/(7.75-3*(E60-1000)/800)</f>
        <v>6.318907355603093</v>
      </c>
      <c r="F62" s="721"/>
      <c r="G62" s="722"/>
      <c r="H62" s="722"/>
      <c r="I62" s="723"/>
      <c r="J62" s="706">
        <v>1040</v>
      </c>
      <c r="K62" s="1346" t="s">
        <v>898</v>
      </c>
      <c r="L62" s="1347"/>
      <c r="M62" s="707">
        <v>1040</v>
      </c>
      <c r="N62" s="1353"/>
      <c r="O62" s="1354"/>
      <c r="P62" s="1354"/>
      <c r="Q62" s="711"/>
      <c r="R62" s="711"/>
    </row>
    <row r="63" spans="1:18" ht="15" customHeight="1" thickBot="1">
      <c r="A63" s="698"/>
      <c r="B63" s="698"/>
      <c r="C63" s="1334" t="s">
        <v>939</v>
      </c>
      <c r="D63" s="1334"/>
      <c r="E63" s="1334"/>
      <c r="F63" s="710"/>
      <c r="G63" s="710"/>
      <c r="H63" s="710"/>
      <c r="I63" s="710"/>
      <c r="J63" s="708">
        <f>1*FIXED(J62*((1.00130346-0.000134722124*(((J61+40)*9/5)-40)+0.00000204052596*(((J61+40)*9/5)-40)^2-0.00000000232820948*(((J61+40)*9/5)-40)^3)/(1.00130346-0.000134722124*(((J60+40)*9/5)-40)+0.00000204052596*(((J60+40)*9/5)-40)^2-0.00000000232820948*(((J60+40)*9/5)-40)^3)),1)</f>
        <v>1040</v>
      </c>
      <c r="K63" s="1325" t="s">
        <v>900</v>
      </c>
      <c r="L63" s="1326"/>
      <c r="M63" s="709">
        <f>1*FIXED(M62*((1.00130346-0.000134722124*M61+0.00000204052596*M61^2-0.00000000232820948*M61^3)/(1.00130346-0.000134722124*M60+0.00000204052596*M60^2-0.00000000232820948*M60^3)),1)</f>
        <v>1040.2</v>
      </c>
      <c r="N63" s="725"/>
      <c r="O63" s="46"/>
      <c r="P63" s="46"/>
      <c r="Q63" s="699"/>
      <c r="R63" s="711"/>
    </row>
    <row r="64" spans="1:18" ht="15" customHeight="1" thickTop="1">
      <c r="A64" s="698"/>
      <c r="B64" s="698"/>
      <c r="C64" s="1335"/>
      <c r="D64" s="1335"/>
      <c r="E64" s="1335"/>
      <c r="F64" s="191"/>
      <c r="G64" s="749"/>
      <c r="H64" s="749"/>
      <c r="I64" s="699"/>
      <c r="J64" s="252" t="s">
        <v>911</v>
      </c>
      <c r="K64" s="1336" t="s">
        <v>96</v>
      </c>
      <c r="L64" s="1337"/>
      <c r="M64" s="308" t="s">
        <v>912</v>
      </c>
      <c r="N64" s="725"/>
      <c r="O64" s="46"/>
      <c r="P64" s="46"/>
      <c r="Q64" s="699"/>
      <c r="R64" s="699"/>
    </row>
    <row r="65" spans="1:18" ht="15" customHeight="1">
      <c r="A65" s="698"/>
      <c r="B65" s="698"/>
      <c r="C65" s="1335"/>
      <c r="D65" s="1335"/>
      <c r="E65" s="1335"/>
      <c r="F65" s="749"/>
      <c r="G65" s="749"/>
      <c r="H65" s="749"/>
      <c r="I65" s="724"/>
      <c r="J65" s="700">
        <f>J60</f>
        <v>20</v>
      </c>
      <c r="K65" s="1338" t="s">
        <v>901</v>
      </c>
      <c r="L65" s="1339"/>
      <c r="M65" s="701">
        <f>M60</f>
        <v>68</v>
      </c>
      <c r="N65" s="725"/>
      <c r="O65" s="46"/>
      <c r="P65" s="46"/>
      <c r="Q65" s="716"/>
      <c r="R65" s="716"/>
    </row>
    <row r="66" spans="1:18" s="695" customFormat="1" ht="15" customHeight="1">
      <c r="A66" s="698"/>
      <c r="B66" s="1340" t="s">
        <v>938</v>
      </c>
      <c r="C66" s="1340"/>
      <c r="D66" s="1340"/>
      <c r="E66" s="1340"/>
      <c r="F66" s="1341" t="s">
        <v>906</v>
      </c>
      <c r="G66" s="1341"/>
      <c r="H66" s="1341"/>
      <c r="I66" s="724"/>
      <c r="J66" s="703">
        <v>20</v>
      </c>
      <c r="K66" s="1342" t="s">
        <v>634</v>
      </c>
      <c r="L66" s="1343"/>
      <c r="M66" s="704">
        <v>70</v>
      </c>
      <c r="N66" s="725"/>
      <c r="O66" s="46"/>
      <c r="P66" s="46"/>
      <c r="Q66" s="716"/>
      <c r="R66" s="716"/>
    </row>
    <row r="67" spans="1:18" s="695" customFormat="1" ht="15" customHeight="1">
      <c r="A67" s="698"/>
      <c r="B67" s="698"/>
      <c r="C67" s="1344" t="s">
        <v>95</v>
      </c>
      <c r="D67" s="1345"/>
      <c r="E67" s="702">
        <v>79</v>
      </c>
      <c r="F67" s="1341"/>
      <c r="G67" s="1341"/>
      <c r="H67" s="1341"/>
      <c r="I67" s="724"/>
      <c r="J67" s="706">
        <v>1010</v>
      </c>
      <c r="K67" s="1346" t="s">
        <v>902</v>
      </c>
      <c r="L67" s="1347"/>
      <c r="M67" s="707">
        <v>1010</v>
      </c>
      <c r="N67" s="725"/>
      <c r="O67" s="46"/>
      <c r="P67" s="46"/>
      <c r="Q67" s="716"/>
      <c r="R67" s="716"/>
    </row>
    <row r="68" spans="1:18" s="695" customFormat="1" ht="15" customHeight="1" thickBot="1">
      <c r="A68" s="698"/>
      <c r="B68" s="698"/>
      <c r="C68" s="1348" t="s">
        <v>96</v>
      </c>
      <c r="D68" s="1349"/>
      <c r="E68" s="720">
        <v>-7</v>
      </c>
      <c r="F68" s="1341"/>
      <c r="G68" s="1341"/>
      <c r="H68" s="1341"/>
      <c r="I68" s="46"/>
      <c r="J68" s="708">
        <f>1*FIXED(J67*((1.00130346-0.000134722124*(((J66+40)*9/5)-40)+0.00000204052596*(((J66+40)*9/5)-40)^2-0.00000000232820948*(((J66+40)*9/5)-40)^3)/(1.00130346-0.000134722124*(((J65+40)*9/5)-40)+0.00000204052596*(((J65+40)*9/5)-40)^2-0.00000000232820948*(((J65+40)*9/5)-40)^3)),1)</f>
        <v>1010</v>
      </c>
      <c r="K68" s="1325" t="s">
        <v>903</v>
      </c>
      <c r="L68" s="1326"/>
      <c r="M68" s="729">
        <f>1*FIXED(M67*((1.00130346-0.000134722124*M66+0.00000204052596*M66^2-0.00000000232820948*M66^3)/(1.00130346-0.000134722124*M65+0.00000204052596*M65^2-0.00000000232820948*M65^3)),1)</f>
        <v>1010.2</v>
      </c>
      <c r="N68" s="725"/>
      <c r="O68" s="46"/>
      <c r="P68" s="46"/>
      <c r="Q68" s="697"/>
      <c r="R68" s="799"/>
    </row>
    <row r="69" spans="1:18" s="695" customFormat="1" ht="15" customHeight="1" thickTop="1">
      <c r="A69" s="698"/>
      <c r="B69" s="698"/>
      <c r="C69" s="1327" t="s">
        <v>899</v>
      </c>
      <c r="D69" s="1328"/>
      <c r="E69" s="718">
        <f>(E67-E68)/(7.75-3*E67/800)</f>
        <v>11.537816535301022</v>
      </c>
      <c r="F69" s="1341"/>
      <c r="G69" s="1341"/>
      <c r="H69" s="1341"/>
      <c r="I69" s="697"/>
      <c r="J69" s="740" t="str">
        <f>FIXED((J63-J68)/(7.75-3*(J63-1000)/800),2)&amp;"%"</f>
        <v>3.95%</v>
      </c>
      <c r="K69" s="1329" t="s">
        <v>104</v>
      </c>
      <c r="L69" s="1330"/>
      <c r="M69" s="741" t="str">
        <f>FIXED((M63-M68)/(7.75-3*(M63-1000)/800),2)&amp;"%"</f>
        <v>3.95%</v>
      </c>
      <c r="N69" s="725"/>
      <c r="O69" s="697"/>
      <c r="P69" s="697"/>
      <c r="Q69" s="697"/>
      <c r="R69" s="799"/>
    </row>
    <row r="70" spans="1:18" s="695" customFormat="1" ht="15" customHeight="1">
      <c r="A70" s="697"/>
      <c r="B70" s="697"/>
      <c r="C70" s="697"/>
      <c r="D70" s="697"/>
      <c r="E70" s="697"/>
      <c r="F70" s="1341"/>
      <c r="G70" s="1341"/>
      <c r="H70" s="1341"/>
      <c r="I70" s="697"/>
      <c r="J70" s="991"/>
      <c r="K70" s="697"/>
      <c r="L70" s="697"/>
      <c r="M70" s="697"/>
      <c r="N70" s="697"/>
      <c r="O70" s="697"/>
      <c r="P70" s="697"/>
      <c r="Q70" s="697"/>
      <c r="R70" s="799"/>
    </row>
    <row r="71" spans="1:18" ht="15" customHeight="1">
      <c r="A71" s="46"/>
      <c r="B71" s="46"/>
      <c r="C71" s="46"/>
      <c r="D71" s="46"/>
      <c r="E71" s="46"/>
      <c r="F71" s="46"/>
      <c r="G71" s="46"/>
      <c r="H71" s="46"/>
      <c r="I71" s="46"/>
      <c r="J71" s="46"/>
      <c r="K71" s="46"/>
      <c r="L71" s="46"/>
      <c r="M71" s="46"/>
      <c r="N71" s="46"/>
      <c r="O71" s="46"/>
      <c r="P71" s="46"/>
      <c r="Q71" s="46"/>
      <c r="R71" s="797"/>
    </row>
    <row r="72" spans="1:18" ht="15" customHeight="1">
      <c r="A72" s="1331" t="s">
        <v>7</v>
      </c>
      <c r="B72" s="1331"/>
      <c r="C72" s="1331"/>
      <c r="D72" s="1331"/>
      <c r="E72" s="629"/>
      <c r="F72" s="629"/>
      <c r="G72" s="46"/>
      <c r="H72" s="629"/>
      <c r="I72" s="773" t="s">
        <v>105</v>
      </c>
      <c r="J72" s="1310" t="s">
        <v>106</v>
      </c>
      <c r="K72" s="1310"/>
      <c r="L72" s="1310"/>
      <c r="M72" s="1310"/>
      <c r="N72" s="982"/>
      <c r="O72" s="982"/>
      <c r="P72" s="982"/>
      <c r="Q72" s="982"/>
      <c r="R72" s="797"/>
    </row>
    <row r="73" spans="1:18" ht="15" customHeight="1">
      <c r="A73" s="629"/>
      <c r="B73" s="629"/>
      <c r="C73" s="1332"/>
      <c r="D73" s="1333"/>
      <c r="E73" s="252" t="s">
        <v>911</v>
      </c>
      <c r="F73" s="308" t="s">
        <v>912</v>
      </c>
      <c r="G73" s="46"/>
      <c r="H73" s="629"/>
      <c r="I73" s="198"/>
      <c r="J73" s="1332"/>
      <c r="K73" s="1333"/>
      <c r="L73" s="252" t="s">
        <v>911</v>
      </c>
      <c r="M73" s="308" t="s">
        <v>912</v>
      </c>
      <c r="N73" s="1316" t="s">
        <v>107</v>
      </c>
      <c r="O73" s="1317"/>
      <c r="P73" s="1317"/>
      <c r="Q73" s="1317"/>
      <c r="R73" s="797"/>
    </row>
    <row r="74" spans="1:18" ht="15" customHeight="1">
      <c r="A74" s="629"/>
      <c r="B74" s="629"/>
      <c r="C74" s="1318" t="s">
        <v>97</v>
      </c>
      <c r="D74" s="1319"/>
      <c r="E74" s="41">
        <v>20</v>
      </c>
      <c r="F74" s="305">
        <v>68</v>
      </c>
      <c r="G74" s="46"/>
      <c r="H74" s="629"/>
      <c r="I74" s="198"/>
      <c r="J74" s="1318" t="s">
        <v>97</v>
      </c>
      <c r="K74" s="1319"/>
      <c r="L74" s="41">
        <v>20</v>
      </c>
      <c r="M74" s="305">
        <v>68</v>
      </c>
      <c r="N74" s="629"/>
      <c r="O74" s="629"/>
      <c r="P74" s="629"/>
      <c r="Q74" s="629"/>
      <c r="R74" s="797"/>
    </row>
    <row r="75" spans="1:18" ht="15" customHeight="1">
      <c r="A75" s="629"/>
      <c r="B75" s="629"/>
      <c r="C75" s="1320" t="s">
        <v>99</v>
      </c>
      <c r="D75" s="1321"/>
      <c r="E75" s="41">
        <v>24</v>
      </c>
      <c r="F75" s="304">
        <v>75.2</v>
      </c>
      <c r="G75" s="46"/>
      <c r="H75" s="629"/>
      <c r="I75" s="198"/>
      <c r="J75" s="1320" t="s">
        <v>99</v>
      </c>
      <c r="K75" s="1321"/>
      <c r="L75" s="41">
        <v>24</v>
      </c>
      <c r="M75" s="304">
        <v>75.2</v>
      </c>
      <c r="N75" s="629"/>
      <c r="O75" s="629"/>
      <c r="P75" s="629"/>
      <c r="Q75" s="629"/>
      <c r="R75" s="797"/>
    </row>
    <row r="76" spans="1:18" ht="15" customHeight="1">
      <c r="A76" s="629"/>
      <c r="B76" s="629"/>
      <c r="C76" s="1322" t="s">
        <v>102</v>
      </c>
      <c r="D76" s="1323"/>
      <c r="E76" s="41">
        <v>1079</v>
      </c>
      <c r="F76" s="306">
        <v>1079</v>
      </c>
      <c r="G76" s="46"/>
      <c r="H76" s="629"/>
      <c r="I76" s="198"/>
      <c r="J76" s="1322" t="s">
        <v>102</v>
      </c>
      <c r="K76" s="1324"/>
      <c r="L76" s="41">
        <v>79</v>
      </c>
      <c r="M76" s="306">
        <v>79</v>
      </c>
      <c r="N76" s="629"/>
      <c r="O76" s="629"/>
      <c r="P76" s="629"/>
      <c r="Q76" s="629"/>
      <c r="R76" s="797"/>
    </row>
    <row r="77" spans="1:18" ht="15" customHeight="1">
      <c r="A77" s="629"/>
      <c r="B77" s="629"/>
      <c r="C77" s="1305" t="s">
        <v>103</v>
      </c>
      <c r="D77" s="1306"/>
      <c r="E77" s="980">
        <f>1*(FIXED(E76*((1.00130346-0.000134722124*(((E75+40)*9/5)-40)+0.00000204052596*POWER((((E75+40)*9/5)-40),2)-0.00000000232820948*POWER((((E75+40)*9/5)-40),3))/(1.00130346-0.000134722124*(((E74+40)*9/5)-40)+0.00000204052596*POWER((((E74+40)*9/5)-40),2)-0.00000000232820948*POWER((((E74+40)*9/5)-40),3))),1))</f>
        <v>1079.9000000000001</v>
      </c>
      <c r="F77" s="719">
        <f>1*FIXED((F76)*((1.00130346-0.000134722124*F75+0.00000204052596*POWER(F75,2)-0.00000000232820948*POWER(F75,3))/(1.00130346-0.000134722124*F74+0.00000204052596*POWER(F74,2)-0.00000000232820948*POWER(F74,3))),1)</f>
        <v>1079.9000000000001</v>
      </c>
      <c r="G77" s="629"/>
      <c r="H77" s="191"/>
      <c r="I77" s="198"/>
      <c r="J77" s="1307" t="s">
        <v>103</v>
      </c>
      <c r="K77" s="1307"/>
      <c r="L77" s="980">
        <f>(FIXED((1000+L76)*((1.00130346-0.000134722124*(((L75+40)*9/5)-40)+0.00000204052596*POWER((((L75+40)*9/5)-40),2)-0.00000000232820948*POWER((((L75+40)*9/5)-40),3))/(1.00130346-0.000134722124*(((L74+40)*9/5)-40)+0.00000204052596*POWER((((L74+40)*9/5)-40),2)-0.00000000232820948*POWER((((L74+40)*9/5)-40),3))),1)-1000)</f>
        <v>79.900000000000091</v>
      </c>
      <c r="M77" s="719">
        <f>1*FIXED((M76+1000)*((1.00130346-0.000134722124*M75+0.00000204052596*POWER(M75,2)-0.00000000232820948*POWER(M75,3))/(1.00130346-0.000134722124*M74+0.00000204052596*POWER(M74,2)-0.00000000232820948*POWER(M74,3))),1)-1000</f>
        <v>79.900000000000091</v>
      </c>
      <c r="N77" s="629"/>
      <c r="O77" s="629"/>
      <c r="P77" s="629"/>
      <c r="Q77" s="629"/>
      <c r="R77" s="797"/>
    </row>
    <row r="78" spans="1:18" ht="15" customHeight="1">
      <c r="A78" s="629"/>
      <c r="B78" s="629"/>
      <c r="C78" s="629"/>
      <c r="D78" s="629"/>
      <c r="E78" s="629"/>
      <c r="F78" s="629"/>
      <c r="G78" s="629"/>
      <c r="H78" s="629"/>
      <c r="I78" s="198"/>
      <c r="J78" s="629"/>
      <c r="K78" s="629"/>
      <c r="L78" s="629"/>
      <c r="M78" s="629"/>
      <c r="N78" s="629"/>
      <c r="O78" s="629"/>
      <c r="P78" s="629"/>
      <c r="Q78" s="629"/>
      <c r="R78" s="797"/>
    </row>
    <row r="79" spans="1:18" ht="15" customHeight="1">
      <c r="A79" s="629"/>
      <c r="B79" s="629"/>
      <c r="C79" s="629"/>
      <c r="D79" s="629"/>
      <c r="E79" s="629"/>
      <c r="F79" s="629"/>
      <c r="G79" s="629"/>
      <c r="H79" s="629"/>
      <c r="I79" s="198"/>
      <c r="J79" s="629"/>
      <c r="K79" s="629"/>
      <c r="L79" s="629"/>
      <c r="M79" s="629"/>
      <c r="N79" s="629"/>
      <c r="O79" s="629"/>
      <c r="P79" s="629"/>
      <c r="Q79" s="629"/>
      <c r="R79" s="797"/>
    </row>
    <row r="80" spans="1:18" ht="15" customHeight="1">
      <c r="A80" s="1308" t="s">
        <v>8</v>
      </c>
      <c r="B80" s="1309"/>
      <c r="C80" s="629"/>
      <c r="D80" s="629"/>
      <c r="E80" s="629"/>
      <c r="F80" s="629"/>
      <c r="G80" s="629"/>
      <c r="H80" s="629"/>
      <c r="I80" s="773" t="s">
        <v>105</v>
      </c>
      <c r="J80" s="1310" t="s">
        <v>106</v>
      </c>
      <c r="K80" s="1310"/>
      <c r="L80" s="1310"/>
      <c r="M80" s="1310"/>
      <c r="N80" s="629"/>
      <c r="O80" s="629"/>
      <c r="P80" s="629"/>
      <c r="Q80" s="629"/>
      <c r="R80" s="797"/>
    </row>
    <row r="81" spans="1:18" ht="15" customHeight="1">
      <c r="A81" s="1288" t="s">
        <v>907</v>
      </c>
      <c r="B81" s="1311"/>
      <c r="C81" s="977" t="s">
        <v>108</v>
      </c>
      <c r="D81" s="1312" t="s">
        <v>908</v>
      </c>
      <c r="E81" s="1312"/>
      <c r="F81" s="52" t="s">
        <v>918</v>
      </c>
      <c r="G81" s="1313" t="s">
        <v>109</v>
      </c>
      <c r="H81" s="1314"/>
      <c r="I81" s="1315"/>
      <c r="J81" s="977" t="s">
        <v>108</v>
      </c>
      <c r="K81" s="1312" t="s">
        <v>908</v>
      </c>
      <c r="L81" s="1312"/>
      <c r="M81" s="52" t="s">
        <v>918</v>
      </c>
      <c r="N81" s="191"/>
      <c r="O81" s="691"/>
      <c r="P81" s="691"/>
      <c r="Q81" s="625"/>
      <c r="R81" s="797"/>
    </row>
    <row r="82" spans="1:18" ht="15" customHeight="1">
      <c r="A82" s="990"/>
      <c r="B82" s="990"/>
      <c r="C82" s="1025">
        <v>1080</v>
      </c>
      <c r="D82" s="1292">
        <f>(-616.868)+(1111.14*(C82/1000))-(630.272*(C82/1000)^2)+(135.997*(C82/1000)^3)</f>
        <v>19.330992064000014</v>
      </c>
      <c r="E82" s="1293"/>
      <c r="F82" s="37">
        <f>145.14-(145140/C82)</f>
        <v>10.751111111111101</v>
      </c>
      <c r="G82" s="1313"/>
      <c r="H82" s="1314"/>
      <c r="I82" s="1315"/>
      <c r="J82" s="1025">
        <v>80</v>
      </c>
      <c r="K82" s="1292">
        <f>(-616.868)+(1111.14*((J82+1000)/1000))-(630.272*((J82+1000)/1000)^2)+(135.997*((J82+1000)/1000)^3)</f>
        <v>19.330992064000014</v>
      </c>
      <c r="L82" s="1293"/>
      <c r="M82" s="39">
        <f>145.14-((145140/(J82+1000)))</f>
        <v>10.751111111111101</v>
      </c>
      <c r="N82" s="690"/>
      <c r="O82" s="691"/>
      <c r="P82" s="691"/>
      <c r="Q82" s="625"/>
      <c r="R82" s="797"/>
    </row>
    <row r="83" spans="1:18" ht="15" customHeight="1">
      <c r="A83" s="990"/>
      <c r="B83" s="990"/>
      <c r="C83" s="980">
        <f>1000*(1+(D83/(258.6-((D83/258.2)*227.1))))</f>
        <v>1020.0697094798217</v>
      </c>
      <c r="D83" s="1289">
        <v>5.0999999999999996</v>
      </c>
      <c r="E83" s="1290"/>
      <c r="F83" s="980">
        <f>145.14-(145140/C83)</f>
        <v>2.8556064422172938</v>
      </c>
      <c r="G83" s="629"/>
      <c r="H83" s="629"/>
      <c r="I83" s="629"/>
      <c r="J83" s="980">
        <f>1000*((K83/(258.6-((K83/258.2)*227.1))))</f>
        <v>20.069709479821693</v>
      </c>
      <c r="K83" s="1291">
        <v>5.0999999999999996</v>
      </c>
      <c r="L83" s="1291"/>
      <c r="M83" s="980">
        <f>145.14-((145140/(J83+1000)))</f>
        <v>2.8556064422172938</v>
      </c>
      <c r="N83" s="690"/>
      <c r="O83" s="691"/>
      <c r="P83" s="691"/>
      <c r="Q83" s="625"/>
      <c r="R83" s="797"/>
    </row>
    <row r="84" spans="1:18" ht="15" customHeight="1">
      <c r="A84" s="990"/>
      <c r="B84" s="990"/>
      <c r="C84" s="980">
        <f>1000*145.14/(145.14-F84)</f>
        <v>1063.7642919964819</v>
      </c>
      <c r="D84" s="1292">
        <f>(-616.868)+(1111.14*(C84/1000))-(630.272*(C84/1000)^2)+(135.997*(C84/1000)^3)</f>
        <v>15.617106353030067</v>
      </c>
      <c r="E84" s="1293"/>
      <c r="F84" s="1025">
        <v>8.6999999999999993</v>
      </c>
      <c r="G84" s="629"/>
      <c r="H84" s="629"/>
      <c r="I84" s="629"/>
      <c r="J84" s="980">
        <f>1000*(145.14/(145.14-M84)-1)</f>
        <v>63.764291996481816</v>
      </c>
      <c r="K84" s="1294">
        <f>(-616.868)+(1111.14*((J84+1000)/1000))-(630.272*((J84+1000)/1000)^2)+(135.997*((J84+1000)/1000)^3)</f>
        <v>15.617106353030067</v>
      </c>
      <c r="L84" s="1294"/>
      <c r="M84" s="1025">
        <v>8.6999999999999993</v>
      </c>
      <c r="N84" s="690"/>
      <c r="O84" s="691"/>
      <c r="P84" s="691"/>
      <c r="Q84" s="625"/>
      <c r="R84" s="797"/>
    </row>
    <row r="85" spans="1:18" ht="15" customHeight="1">
      <c r="A85" s="990"/>
      <c r="B85" s="1295" t="s">
        <v>909</v>
      </c>
      <c r="C85" s="1295"/>
      <c r="D85" s="1295"/>
      <c r="E85" s="1295"/>
      <c r="F85" s="1295"/>
      <c r="G85" s="1295"/>
      <c r="H85" s="1295"/>
      <c r="I85" s="990"/>
      <c r="J85" s="629"/>
      <c r="K85" s="629"/>
      <c r="L85" s="629"/>
      <c r="M85" s="629"/>
      <c r="N85" s="629"/>
      <c r="O85" s="629"/>
      <c r="P85" s="629"/>
      <c r="Q85" s="629"/>
      <c r="R85" s="797"/>
    </row>
    <row r="86" spans="1:18" ht="15" customHeight="1">
      <c r="A86" s="990"/>
      <c r="B86" s="1295"/>
      <c r="C86" s="1295"/>
      <c r="D86" s="1295"/>
      <c r="E86" s="1295"/>
      <c r="F86" s="1295"/>
      <c r="G86" s="1295"/>
      <c r="H86" s="1295"/>
      <c r="I86" s="990"/>
      <c r="J86" s="1296" t="s">
        <v>110</v>
      </c>
      <c r="K86" s="1297"/>
      <c r="L86" s="1297"/>
      <c r="M86" s="1298"/>
      <c r="N86" s="629"/>
      <c r="O86" s="629"/>
      <c r="P86" s="629"/>
      <c r="Q86" s="629"/>
      <c r="R86" s="797"/>
    </row>
    <row r="87" spans="1:18" ht="15" customHeight="1">
      <c r="A87" s="990"/>
      <c r="B87" s="1295"/>
      <c r="C87" s="1295"/>
      <c r="D87" s="1295"/>
      <c r="E87" s="1295"/>
      <c r="F87" s="1295"/>
      <c r="G87" s="1295"/>
      <c r="H87" s="1295"/>
      <c r="I87" s="990"/>
      <c r="J87" s="1299" t="s">
        <v>111</v>
      </c>
      <c r="K87" s="1300"/>
      <c r="L87" s="1301"/>
      <c r="M87" s="433">
        <v>1079</v>
      </c>
      <c r="N87" s="629"/>
      <c r="O87" s="629"/>
      <c r="P87" s="629"/>
      <c r="Q87" s="629"/>
      <c r="R87" s="797"/>
    </row>
    <row r="88" spans="1:18" ht="15" customHeight="1">
      <c r="A88" s="990"/>
      <c r="B88" s="1295"/>
      <c r="C88" s="1295"/>
      <c r="D88" s="1295"/>
      <c r="E88" s="1295"/>
      <c r="F88" s="1295"/>
      <c r="G88" s="1295"/>
      <c r="H88" s="1295"/>
      <c r="I88" s="990"/>
      <c r="J88" s="1302" t="s">
        <v>112</v>
      </c>
      <c r="K88" s="1303"/>
      <c r="L88" s="1304"/>
      <c r="M88" s="434">
        <v>21</v>
      </c>
      <c r="N88" s="629"/>
      <c r="O88" s="629"/>
      <c r="P88" s="629"/>
      <c r="Q88" s="629"/>
      <c r="R88" s="797"/>
    </row>
    <row r="89" spans="1:18" ht="15" customHeight="1">
      <c r="A89" s="990"/>
      <c r="B89" s="1280" t="s">
        <v>932</v>
      </c>
      <c r="C89" s="1280"/>
      <c r="D89" s="1280"/>
      <c r="E89" s="1280"/>
      <c r="F89" s="1280"/>
      <c r="G89" s="1280"/>
      <c r="H89" s="1280"/>
      <c r="I89" s="990"/>
      <c r="J89" s="1281" t="s">
        <v>894</v>
      </c>
      <c r="K89" s="1282"/>
      <c r="L89" s="1282"/>
      <c r="M89" s="692">
        <f>M88*M88/((0.66872*M87)-463.37-(205.347*((M87/1000)^2)))</f>
        <v>23.082378571129247</v>
      </c>
      <c r="N89" s="693"/>
      <c r="O89" s="693"/>
      <c r="P89" s="693"/>
      <c r="Q89" s="693"/>
      <c r="R89" s="797"/>
    </row>
    <row r="90" spans="1:18" ht="15" customHeight="1">
      <c r="A90" s="990"/>
      <c r="B90" s="990"/>
      <c r="C90" s="990"/>
      <c r="D90" s="990"/>
      <c r="E90" s="990"/>
      <c r="F90" s="990"/>
      <c r="G90" s="990"/>
      <c r="H90" s="990"/>
      <c r="I90" s="990"/>
      <c r="J90" s="990"/>
      <c r="K90" s="990"/>
      <c r="L90" s="990"/>
      <c r="M90" s="990"/>
      <c r="N90" s="990"/>
      <c r="O90" s="1009"/>
      <c r="P90" s="693"/>
      <c r="Q90" s="693"/>
      <c r="R90" s="797"/>
    </row>
    <row r="91" spans="1:18" ht="15" customHeight="1">
      <c r="A91" s="990"/>
      <c r="B91" s="990"/>
      <c r="C91" s="990"/>
      <c r="D91" s="990"/>
      <c r="E91" s="990"/>
      <c r="F91" s="990"/>
      <c r="G91" s="990"/>
      <c r="H91" s="990"/>
      <c r="I91" s="990"/>
      <c r="J91" s="629"/>
      <c r="K91" s="629"/>
      <c r="L91" s="629"/>
      <c r="M91" s="629"/>
      <c r="N91" s="629"/>
      <c r="O91" s="629"/>
      <c r="P91" s="629"/>
      <c r="Q91" s="629"/>
      <c r="R91" s="797"/>
    </row>
    <row r="92" spans="1:18" ht="15" customHeight="1">
      <c r="A92" s="1283" t="s">
        <v>113</v>
      </c>
      <c r="B92" s="1283"/>
      <c r="C92" s="1283"/>
      <c r="D92" s="1283"/>
      <c r="E92" s="1283"/>
      <c r="F92" s="1283"/>
      <c r="G92" s="1283"/>
      <c r="H92" s="1283"/>
      <c r="I92" s="1284"/>
      <c r="J92" s="629"/>
      <c r="K92" s="629"/>
      <c r="L92" s="629"/>
      <c r="M92" s="629"/>
      <c r="N92" s="629"/>
      <c r="O92" s="629"/>
      <c r="P92" s="629"/>
      <c r="Q92" s="629"/>
      <c r="R92" s="797"/>
    </row>
    <row r="93" spans="1:18" ht="15" customHeight="1">
      <c r="A93" s="629"/>
      <c r="B93" s="46"/>
      <c r="C93" s="140" t="s">
        <v>115</v>
      </c>
      <c r="D93" s="1285" t="s">
        <v>116</v>
      </c>
      <c r="E93" s="1285"/>
      <c r="F93" s="1286" t="s">
        <v>117</v>
      </c>
      <c r="G93" s="1287"/>
      <c r="H93" s="1286" t="s">
        <v>118</v>
      </c>
      <c r="I93" s="1287"/>
      <c r="J93" s="1288" t="s">
        <v>119</v>
      </c>
      <c r="K93" s="1288"/>
      <c r="L93" s="1288"/>
      <c r="M93" s="199">
        <v>3.15</v>
      </c>
      <c r="N93" s="979" t="s">
        <v>51</v>
      </c>
      <c r="O93" s="629"/>
      <c r="P93" s="629"/>
      <c r="Q93" s="629"/>
      <c r="R93" s="797"/>
    </row>
    <row r="94" spans="1:18" ht="15" customHeight="1">
      <c r="A94" s="629"/>
      <c r="B94" s="46"/>
      <c r="C94" s="268" t="s">
        <v>919</v>
      </c>
      <c r="D94" s="730" t="s">
        <v>916</v>
      </c>
      <c r="E94" s="731" t="s">
        <v>917</v>
      </c>
      <c r="F94" s="475">
        <f>F95/1000*(C95-VLOOKUP(D95,P109:Q152,2))/Q108</f>
        <v>8.1034151785714297</v>
      </c>
      <c r="G94" s="476" t="str">
        <f>FIXED(SUM(-16.6999,PRODUCT(-0.0101059,E95),PRODUCT(0.00116512,POWER(E95,2)),PRODUCT(0.173354,E95,C95),PRODUCT(4.24267,C95),PRODUCT(-0.0684226,POWER(C95,2))),2)</f>
        <v>35.48</v>
      </c>
      <c r="H94" s="1263" t="s">
        <v>121</v>
      </c>
      <c r="I94" s="1264"/>
      <c r="J94" s="979"/>
      <c r="K94" s="1265" t="s">
        <v>122</v>
      </c>
      <c r="L94" s="1266"/>
      <c r="M94" s="1267"/>
      <c r="N94" s="979"/>
      <c r="O94" s="629"/>
      <c r="P94" s="1011"/>
      <c r="Q94" s="1011"/>
      <c r="R94" s="797"/>
    </row>
    <row r="95" spans="1:18" ht="15" customHeight="1">
      <c r="A95" s="629"/>
      <c r="B95" s="46"/>
      <c r="C95" s="49">
        <v>3</v>
      </c>
      <c r="D95" s="1025">
        <v>20</v>
      </c>
      <c r="E95" s="50">
        <f>((D95+40)*(9/5))-40</f>
        <v>68</v>
      </c>
      <c r="F95" s="155">
        <v>1000</v>
      </c>
      <c r="G95" s="270" t="s">
        <v>70</v>
      </c>
      <c r="H95" s="1268" t="str">
        <f>FIXED((G94),1)&amp;" PSI"</f>
        <v>35.5 PSI</v>
      </c>
      <c r="I95" s="1269"/>
      <c r="J95" s="990"/>
      <c r="K95" s="82" t="s">
        <v>54</v>
      </c>
      <c r="L95" s="82" t="s">
        <v>123</v>
      </c>
      <c r="M95" s="82" t="s">
        <v>124</v>
      </c>
      <c r="N95" s="979"/>
      <c r="O95" s="1011"/>
      <c r="P95" s="1011"/>
      <c r="Q95" s="1011"/>
      <c r="R95" s="797"/>
    </row>
    <row r="96" spans="1:18" ht="15" customHeight="1">
      <c r="A96" s="629"/>
      <c r="B96" s="46"/>
      <c r="C96" s="657" t="s">
        <v>887</v>
      </c>
      <c r="D96" s="1270" t="s">
        <v>125</v>
      </c>
      <c r="E96" s="1271"/>
      <c r="F96" s="1004" t="str">
        <f>"= "&amp;FIXED(F94)&amp;""</f>
        <v>= 8.10</v>
      </c>
      <c r="G96" s="1005" t="s">
        <v>51</v>
      </c>
      <c r="H96" s="1272" t="str">
        <f>"OR "&amp;FIXED((G94*0.068046),2)&amp;" Atm."</f>
        <v>OR 2.41 Atm.</v>
      </c>
      <c r="I96" s="1273"/>
      <c r="J96" s="979"/>
      <c r="K96" s="84">
        <f>L96*M93</f>
        <v>3.15</v>
      </c>
      <c r="L96" s="1025">
        <v>1</v>
      </c>
      <c r="M96" s="85">
        <f>L96/M93</f>
        <v>0.31746031746031744</v>
      </c>
      <c r="N96" s="979"/>
      <c r="O96" s="1011"/>
      <c r="P96" s="1011"/>
      <c r="Q96" s="1011"/>
      <c r="R96" s="797"/>
    </row>
    <row r="97" spans="1:18" ht="15" customHeight="1">
      <c r="A97" s="629"/>
      <c r="B97" s="46"/>
      <c r="C97" s="658" t="s">
        <v>888</v>
      </c>
      <c r="D97" s="1274" t="s">
        <v>126</v>
      </c>
      <c r="E97" s="1275"/>
      <c r="F97" s="1276" t="str">
        <f>"= "&amp;FIXED(F94/M93,2)&amp;" level 5ml tsp"</f>
        <v>= 2.57 level 5ml tsp</v>
      </c>
      <c r="G97" s="1276"/>
      <c r="H97" s="1277" t="str">
        <f>"OR "&amp;FIXED((G94*0.068948),2)&amp;" Bar "</f>
        <v xml:space="preserve">OR 2.45 Bar </v>
      </c>
      <c r="I97" s="1278"/>
      <c r="J97" s="979"/>
      <c r="K97" s="1279" t="str">
        <f>1*FIXED(L96)&amp;" g sugar = "&amp;1*FIXED(M96,3)&amp;" tsp"</f>
        <v>1 g sugar = 0.317 tsp</v>
      </c>
      <c r="L97" s="1279"/>
      <c r="M97" s="1279"/>
      <c r="N97" s="979"/>
      <c r="O97" s="1011"/>
      <c r="P97" s="1011"/>
      <c r="Q97" s="1011"/>
      <c r="R97" s="797"/>
    </row>
    <row r="98" spans="1:18" ht="15" customHeight="1">
      <c r="A98" s="629"/>
      <c r="B98" s="629"/>
      <c r="C98" s="629"/>
      <c r="D98" s="629"/>
      <c r="E98" s="629"/>
      <c r="F98" s="629"/>
      <c r="G98" s="629"/>
      <c r="H98" s="629"/>
      <c r="I98" s="629"/>
      <c r="J98" s="629"/>
      <c r="K98" s="1257" t="str">
        <f>1*FIXED(L96)&amp;" tsp sugar = "&amp;1*FIXED(K96,2)&amp;" g"</f>
        <v>1 tsp sugar = 3.15 g</v>
      </c>
      <c r="L98" s="1257"/>
      <c r="M98" s="1257"/>
      <c r="N98" s="462"/>
      <c r="O98" s="462"/>
      <c r="P98" s="462"/>
      <c r="Q98" s="462"/>
      <c r="R98" s="797"/>
    </row>
    <row r="99" spans="1:18" ht="15" customHeight="1">
      <c r="A99" s="629"/>
      <c r="B99" s="951" t="s">
        <v>127</v>
      </c>
      <c r="C99" s="947" t="s">
        <v>128</v>
      </c>
      <c r="D99" s="947"/>
      <c r="E99" s="948">
        <v>20</v>
      </c>
      <c r="F99" s="1244" t="str">
        <f>"°C ("&amp;FIXED((((E99+40)*(9/5))-40),1)&amp;"°F)"</f>
        <v>°C (68.0°F)</v>
      </c>
      <c r="G99" s="1245"/>
      <c r="H99" s="1245"/>
      <c r="I99" s="1245"/>
      <c r="J99" s="1246"/>
      <c r="K99" s="629"/>
      <c r="L99" s="629"/>
      <c r="M99" s="629"/>
      <c r="N99" s="629"/>
      <c r="O99" s="629"/>
      <c r="P99" s="629"/>
      <c r="Q99" s="629"/>
      <c r="R99" s="797"/>
    </row>
    <row r="100" spans="1:18" ht="15" customHeight="1">
      <c r="A100" s="629"/>
      <c r="B100" s="987"/>
      <c r="C100" s="1242" t="s">
        <v>967</v>
      </c>
      <c r="D100" s="1243"/>
      <c r="E100" s="948">
        <v>8.1</v>
      </c>
      <c r="F100" s="1244" t="str">
        <f>"g ̸ litre giving a carbonation value of "&amp;FIXED(E100*Q108+VLOOKUP(E99,P109:Q152,2))&amp;" Vol's CO2."</f>
        <v>g ̸ litre giving a carbonation value of 3.00 Vol's CO2.</v>
      </c>
      <c r="G100" s="1245"/>
      <c r="H100" s="1245"/>
      <c r="I100" s="1245"/>
      <c r="J100" s="1246"/>
      <c r="K100" s="629"/>
      <c r="L100" s="629"/>
      <c r="M100" s="629"/>
      <c r="N100" s="629"/>
      <c r="O100" s="629"/>
      <c r="P100" s="629"/>
      <c r="Q100" s="629"/>
      <c r="R100" s="797"/>
    </row>
    <row r="101" spans="1:18" ht="15" customHeight="1">
      <c r="A101" s="629"/>
      <c r="B101" s="800"/>
      <c r="C101" s="1258" t="s">
        <v>968</v>
      </c>
      <c r="D101" s="1259"/>
      <c r="E101" s="949">
        <f>E100/M93</f>
        <v>2.5714285714285712</v>
      </c>
      <c r="F101" s="1260" t="s">
        <v>129</v>
      </c>
      <c r="G101" s="1261"/>
      <c r="H101" s="1261"/>
      <c r="I101" s="1261"/>
      <c r="J101" s="1262"/>
      <c r="K101" s="629"/>
      <c r="L101" s="629"/>
      <c r="M101" s="629"/>
      <c r="N101" s="629"/>
      <c r="O101" s="629"/>
      <c r="P101" s="629"/>
      <c r="Q101" s="629"/>
      <c r="R101" s="797"/>
    </row>
    <row r="102" spans="1:18" ht="15" customHeight="1">
      <c r="A102" s="629"/>
      <c r="B102" s="800"/>
      <c r="C102" s="1242" t="s">
        <v>130</v>
      </c>
      <c r="D102" s="1243"/>
      <c r="E102" s="950">
        <v>750</v>
      </c>
      <c r="F102" s="1244" t="str">
        <f>"ml for a bottle use "&amp;FIXED(E100*E102/1000)&amp;"g or "&amp;FIXED(E100*E102/(1000*M93),2)&amp;" level 5ml tsp. per bottle."</f>
        <v>ml for a bottle use 6.08g or 1.93 level 5ml tsp. per bottle.</v>
      </c>
      <c r="G102" s="1245"/>
      <c r="H102" s="1245"/>
      <c r="I102" s="1245"/>
      <c r="J102" s="1246"/>
      <c r="K102" s="629"/>
      <c r="L102" s="629"/>
      <c r="M102" s="629"/>
      <c r="N102" s="629"/>
      <c r="O102" s="629"/>
      <c r="P102" s="629"/>
      <c r="Q102" s="629"/>
      <c r="R102" s="797"/>
    </row>
    <row r="103" spans="1:18" ht="15" customHeight="1">
      <c r="A103" s="629"/>
      <c r="B103" s="629"/>
      <c r="C103" s="629"/>
      <c r="D103" s="629"/>
      <c r="E103" s="629"/>
      <c r="F103" s="629"/>
      <c r="G103" s="629"/>
      <c r="H103" s="629"/>
      <c r="I103" s="629"/>
      <c r="J103" s="629"/>
      <c r="K103" s="629"/>
      <c r="L103" s="629"/>
      <c r="M103" s="629"/>
      <c r="N103" s="629"/>
      <c r="O103" s="629"/>
      <c r="P103" s="629"/>
      <c r="Q103" s="629"/>
      <c r="R103" s="797"/>
    </row>
    <row r="104" spans="1:18" ht="15" customHeight="1">
      <c r="A104" s="629"/>
      <c r="B104" s="629"/>
      <c r="C104" s="629"/>
      <c r="D104" s="629"/>
      <c r="E104" s="629"/>
      <c r="F104" s="629"/>
      <c r="G104" s="629"/>
      <c r="H104" s="629"/>
      <c r="I104" s="629"/>
      <c r="J104" s="629"/>
      <c r="K104" s="629"/>
      <c r="L104" s="629"/>
      <c r="M104" s="629"/>
      <c r="N104" s="629"/>
      <c r="O104" s="629"/>
      <c r="P104" s="629"/>
      <c r="Q104" s="629"/>
      <c r="R104" s="797"/>
    </row>
    <row r="105" spans="1:18" ht="15" customHeight="1">
      <c r="A105" s="1247" t="s">
        <v>964</v>
      </c>
      <c r="B105" s="1247"/>
      <c r="C105" s="1247"/>
      <c r="D105" s="1247"/>
      <c r="E105" s="1247"/>
      <c r="F105" s="1247"/>
      <c r="G105" s="1247"/>
      <c r="H105" s="1247"/>
      <c r="I105" s="1247"/>
      <c r="J105" s="1247"/>
      <c r="K105" s="1247"/>
      <c r="L105" s="629"/>
      <c r="M105" s="1248" t="s">
        <v>131</v>
      </c>
      <c r="N105" s="1248"/>
      <c r="O105" s="1248"/>
      <c r="P105" s="1248"/>
      <c r="Q105" s="629"/>
      <c r="R105" s="797"/>
    </row>
    <row r="106" spans="1:18" ht="15" customHeight="1">
      <c r="A106" s="629"/>
      <c r="B106" s="1045"/>
      <c r="C106" s="490" t="s">
        <v>132</v>
      </c>
      <c r="D106" s="1249" t="s">
        <v>133</v>
      </c>
      <c r="E106" s="1250"/>
      <c r="F106" s="498"/>
      <c r="G106" s="1251">
        <f>(6.14159265359+((I108+3*M172)*P120)*Q114^Q115)</f>
        <v>11026.647195946018</v>
      </c>
      <c r="H106" s="1252"/>
      <c r="I106" s="496" t="s">
        <v>132</v>
      </c>
      <c r="J106" s="1255" t="s">
        <v>133</v>
      </c>
      <c r="K106" s="1256"/>
      <c r="L106" s="629"/>
      <c r="M106" s="1003" t="s">
        <v>134</v>
      </c>
      <c r="N106" s="225" t="s">
        <v>135</v>
      </c>
      <c r="O106" s="1002" t="s">
        <v>136</v>
      </c>
      <c r="P106" s="52" t="s">
        <v>137</v>
      </c>
      <c r="Q106" s="629"/>
      <c r="R106" s="797"/>
    </row>
    <row r="107" spans="1:18" ht="15" customHeight="1">
      <c r="A107" s="629"/>
      <c r="B107" s="54" t="s">
        <v>138</v>
      </c>
      <c r="C107" s="491" t="s">
        <v>137</v>
      </c>
      <c r="D107" s="463" t="s">
        <v>134</v>
      </c>
      <c r="E107" s="404" t="s">
        <v>139</v>
      </c>
      <c r="F107" s="498"/>
      <c r="G107" s="1253"/>
      <c r="H107" s="1254"/>
      <c r="I107" s="497" t="s">
        <v>137</v>
      </c>
      <c r="J107" s="495" t="s">
        <v>134</v>
      </c>
      <c r="K107" s="486" t="s">
        <v>139</v>
      </c>
      <c r="L107" s="629"/>
      <c r="M107" s="188">
        <v>5</v>
      </c>
      <c r="N107" s="189">
        <v>9.5</v>
      </c>
      <c r="O107" s="52">
        <f>(M107*12+N107)</f>
        <v>69.5</v>
      </c>
      <c r="P107" s="256">
        <f>(M107*12+N107)*2.54</f>
        <v>176.53</v>
      </c>
      <c r="Q107" s="1013"/>
      <c r="R107" s="1014"/>
    </row>
    <row r="108" spans="1:18" ht="15" customHeight="1">
      <c r="A108" s="629"/>
      <c r="B108" s="53"/>
      <c r="C108" s="514">
        <v>175</v>
      </c>
      <c r="D108" s="487">
        <v>5</v>
      </c>
      <c r="E108" s="406">
        <v>9</v>
      </c>
      <c r="F108" s="629"/>
      <c r="G108" s="1224" t="s">
        <v>140</v>
      </c>
      <c r="H108" s="1225"/>
      <c r="I108" s="512">
        <v>90</v>
      </c>
      <c r="J108" s="1046" t="s">
        <v>990</v>
      </c>
      <c r="K108" s="513">
        <v>33</v>
      </c>
      <c r="L108" s="629"/>
      <c r="M108" s="226" t="s">
        <v>105</v>
      </c>
      <c r="N108" s="629"/>
      <c r="O108" s="629"/>
      <c r="P108" s="1015" t="s">
        <v>114</v>
      </c>
      <c r="Q108" s="1016">
        <f>89.6/342</f>
        <v>0.26198830409356721</v>
      </c>
      <c r="R108" s="1017"/>
    </row>
    <row r="109" spans="1:18" ht="15" customHeight="1">
      <c r="A109" s="629"/>
      <c r="B109" s="54" t="s">
        <v>141</v>
      </c>
      <c r="C109" s="492" t="s">
        <v>56</v>
      </c>
      <c r="D109" s="488" t="s">
        <v>142</v>
      </c>
      <c r="E109" s="407" t="s">
        <v>53</v>
      </c>
      <c r="F109" s="629"/>
      <c r="G109" s="1226" t="s">
        <v>138</v>
      </c>
      <c r="H109" s="1227"/>
      <c r="I109" s="514">
        <v>170</v>
      </c>
      <c r="J109" s="515">
        <v>5</v>
      </c>
      <c r="K109" s="516">
        <v>7</v>
      </c>
      <c r="L109" s="629"/>
      <c r="M109" s="52" t="s">
        <v>137</v>
      </c>
      <c r="N109" s="1002" t="s">
        <v>136</v>
      </c>
      <c r="O109" s="1002" t="s">
        <v>143</v>
      </c>
      <c r="P109" s="1018">
        <v>0</v>
      </c>
      <c r="Q109" s="1019">
        <v>1.7130000000000001</v>
      </c>
      <c r="R109" s="1017"/>
    </row>
    <row r="110" spans="1:18" ht="15" customHeight="1">
      <c r="A110" s="629"/>
      <c r="B110" s="53"/>
      <c r="C110" s="493">
        <v>75</v>
      </c>
      <c r="D110" s="489">
        <v>11</v>
      </c>
      <c r="E110" s="405">
        <v>7</v>
      </c>
      <c r="F110" s="629"/>
      <c r="G110" s="1224" t="s">
        <v>144</v>
      </c>
      <c r="H110" s="1225"/>
      <c r="I110" s="517">
        <f>100*(I108/I109)</f>
        <v>52.941176470588239</v>
      </c>
      <c r="J110" s="521"/>
      <c r="K110" s="518">
        <f>100*K108/(12*J109+K109)</f>
        <v>49.253731343283583</v>
      </c>
      <c r="L110" s="629"/>
      <c r="M110" s="485">
        <v>176.5</v>
      </c>
      <c r="N110" s="1002">
        <f>FIXED(M110*39.37,-1)/100</f>
        <v>69.5</v>
      </c>
      <c r="O110" s="977" t="str">
        <f>INT((M110*39.37/1200))&amp;"`   "&amp;FIXED(MOD(M110*39.37,1200)/100,1)&amp;""""</f>
        <v>5`   9.5"</v>
      </c>
      <c r="P110" s="1018">
        <v>1</v>
      </c>
      <c r="Q110" s="1019">
        <v>1.6459999999999999</v>
      </c>
      <c r="R110" s="1017"/>
    </row>
    <row r="111" spans="1:18" ht="15" customHeight="1">
      <c r="A111" s="629"/>
      <c r="B111" s="184" t="s">
        <v>145</v>
      </c>
      <c r="C111" s="494">
        <f>C110/100000*(C108^2)</f>
        <v>22.96875</v>
      </c>
      <c r="D111" s="1228">
        <f>M173/(M172^2)</f>
        <v>23.796665950819829</v>
      </c>
      <c r="E111" s="1229"/>
      <c r="F111" s="629"/>
      <c r="G111" s="1230" t="s">
        <v>146</v>
      </c>
      <c r="H111" s="1231"/>
      <c r="I111" s="519">
        <f>100*(I108/I109)</f>
        <v>52.941176470588239</v>
      </c>
      <c r="J111" s="522"/>
      <c r="K111" s="520">
        <f>100*K108/(12*J109+K109)</f>
        <v>49.253731343283583</v>
      </c>
      <c r="L111" s="191"/>
      <c r="M111" s="629"/>
      <c r="N111" s="629"/>
      <c r="O111" s="629"/>
      <c r="P111" s="1018">
        <v>2</v>
      </c>
      <c r="Q111" s="1019">
        <v>1.5840000000000001</v>
      </c>
      <c r="R111" s="1017"/>
    </row>
    <row r="112" spans="1:18" ht="15" customHeight="1">
      <c r="A112" s="629"/>
      <c r="B112" s="180" t="s">
        <v>147</v>
      </c>
      <c r="C112" s="1232" t="s">
        <v>148</v>
      </c>
      <c r="D112" s="1233"/>
      <c r="E112" s="1234"/>
      <c r="F112" s="629"/>
      <c r="G112" s="1235"/>
      <c r="H112" s="1237" t="s">
        <v>149</v>
      </c>
      <c r="I112" s="1238"/>
      <c r="J112" s="1166"/>
      <c r="K112" s="1207"/>
      <c r="L112" s="629"/>
      <c r="M112" s="502"/>
      <c r="N112" s="502"/>
      <c r="O112" s="502"/>
      <c r="P112" s="1018">
        <v>3</v>
      </c>
      <c r="Q112" s="1019">
        <v>1.53</v>
      </c>
      <c r="R112" s="1017"/>
    </row>
    <row r="113" spans="1:18" ht="15" customHeight="1">
      <c r="A113" s="629"/>
      <c r="B113" s="181" t="s">
        <v>150</v>
      </c>
      <c r="C113" s="1209" t="s">
        <v>151</v>
      </c>
      <c r="D113" s="1210"/>
      <c r="E113" s="1211"/>
      <c r="F113" s="629"/>
      <c r="G113" s="1236"/>
      <c r="H113" s="1239"/>
      <c r="I113" s="1240"/>
      <c r="J113" s="1241"/>
      <c r="K113" s="1208"/>
      <c r="L113" s="629"/>
      <c r="M113" s="502"/>
      <c r="N113" s="502"/>
      <c r="O113" s="502"/>
      <c r="P113" s="1018">
        <v>4</v>
      </c>
      <c r="Q113" s="1019">
        <v>1.4730000000000001</v>
      </c>
      <c r="R113" s="1017"/>
    </row>
    <row r="114" spans="1:18" ht="15" customHeight="1">
      <c r="A114" s="629"/>
      <c r="B114" s="182" t="s">
        <v>152</v>
      </c>
      <c r="C114" s="1212" t="s">
        <v>153</v>
      </c>
      <c r="D114" s="1213"/>
      <c r="E114" s="1214"/>
      <c r="F114" s="629"/>
      <c r="G114" s="694" t="s">
        <v>154</v>
      </c>
      <c r="H114" s="1215" t="s">
        <v>155</v>
      </c>
      <c r="I114" s="1216"/>
      <c r="J114" s="1217"/>
      <c r="K114" s="694" t="s">
        <v>154</v>
      </c>
      <c r="L114" s="629"/>
      <c r="M114" s="502"/>
      <c r="N114" s="502"/>
      <c r="O114" s="502"/>
      <c r="P114" s="1018">
        <v>5</v>
      </c>
      <c r="Q114" s="1019">
        <v>1.4239999999999999</v>
      </c>
      <c r="R114" s="1017"/>
    </row>
    <row r="115" spans="1:18" ht="15" customHeight="1">
      <c r="A115" s="629"/>
      <c r="B115" s="183" t="s">
        <v>156</v>
      </c>
      <c r="C115" s="1218" t="s">
        <v>157</v>
      </c>
      <c r="D115" s="1219"/>
      <c r="E115" s="1220"/>
      <c r="F115" s="629"/>
      <c r="G115" s="116" t="s">
        <v>158</v>
      </c>
      <c r="H115" s="1221" t="s">
        <v>159</v>
      </c>
      <c r="I115" s="1222"/>
      <c r="J115" s="1223"/>
      <c r="K115" s="116" t="s">
        <v>160</v>
      </c>
      <c r="L115" s="629"/>
      <c r="M115" s="502"/>
      <c r="N115" s="502"/>
      <c r="O115" s="502"/>
      <c r="P115" s="1018">
        <v>6</v>
      </c>
      <c r="Q115" s="1019">
        <v>1.377</v>
      </c>
      <c r="R115" s="1017"/>
    </row>
    <row r="116" spans="1:18" ht="15" customHeight="1">
      <c r="A116" s="629"/>
      <c r="B116" s="1192" t="s">
        <v>161</v>
      </c>
      <c r="C116" s="1192"/>
      <c r="D116" s="1192"/>
      <c r="E116" s="1193"/>
      <c r="F116" s="629"/>
      <c r="G116" s="117" t="s">
        <v>162</v>
      </c>
      <c r="H116" s="1194" t="s">
        <v>163</v>
      </c>
      <c r="I116" s="1195"/>
      <c r="J116" s="1196"/>
      <c r="K116" s="117" t="s">
        <v>164</v>
      </c>
      <c r="L116" s="629"/>
      <c r="M116" s="502"/>
      <c r="N116" s="502"/>
      <c r="O116" s="502"/>
      <c r="P116" s="1018">
        <v>7</v>
      </c>
      <c r="Q116" s="1019">
        <v>1.331</v>
      </c>
      <c r="R116" s="1017"/>
    </row>
    <row r="117" spans="1:18" ht="15" customHeight="1">
      <c r="A117" s="629"/>
      <c r="B117" s="503"/>
      <c r="C117" s="503"/>
      <c r="D117" s="503"/>
      <c r="E117" s="629"/>
      <c r="F117" s="629"/>
      <c r="G117" s="117" t="s">
        <v>165</v>
      </c>
      <c r="H117" s="1194" t="s">
        <v>166</v>
      </c>
      <c r="I117" s="1195"/>
      <c r="J117" s="1196"/>
      <c r="K117" s="117" t="s">
        <v>167</v>
      </c>
      <c r="L117" s="629"/>
      <c r="M117" s="502"/>
      <c r="N117" s="502"/>
      <c r="O117" s="502"/>
      <c r="P117" s="1018">
        <v>8</v>
      </c>
      <c r="Q117" s="1019">
        <v>1.282</v>
      </c>
      <c r="R117" s="1017"/>
    </row>
    <row r="118" spans="1:18" ht="15" customHeight="1">
      <c r="A118" s="629"/>
      <c r="B118" s="504" t="s">
        <v>168</v>
      </c>
      <c r="C118" s="505"/>
      <c r="D118" s="505"/>
      <c r="E118" s="340"/>
      <c r="F118" s="340"/>
      <c r="G118" s="118" t="s">
        <v>169</v>
      </c>
      <c r="H118" s="1197" t="s">
        <v>153</v>
      </c>
      <c r="I118" s="1198"/>
      <c r="J118" s="1199"/>
      <c r="K118" s="118" t="s">
        <v>170</v>
      </c>
      <c r="L118" s="629"/>
      <c r="M118" s="629"/>
      <c r="N118" s="340"/>
      <c r="O118" s="340"/>
      <c r="P118" s="1018">
        <v>9</v>
      </c>
      <c r="Q118" s="1019">
        <v>1.2370000000000001</v>
      </c>
      <c r="R118" s="1017"/>
    </row>
    <row r="119" spans="1:18" ht="15" customHeight="1">
      <c r="A119" s="629"/>
      <c r="B119" s="1200" t="s">
        <v>171</v>
      </c>
      <c r="C119" s="1200"/>
      <c r="D119" s="1200"/>
      <c r="E119" s="1200"/>
      <c r="F119" s="340"/>
      <c r="G119" s="119" t="s">
        <v>172</v>
      </c>
      <c r="H119" s="1201" t="s">
        <v>173</v>
      </c>
      <c r="I119" s="1202"/>
      <c r="J119" s="1203"/>
      <c r="K119" s="119" t="s">
        <v>174</v>
      </c>
      <c r="L119" s="629"/>
      <c r="M119" s="629"/>
      <c r="N119" s="340"/>
      <c r="O119" s="340"/>
      <c r="P119" s="1018">
        <v>10</v>
      </c>
      <c r="Q119" s="1019">
        <v>1.194</v>
      </c>
      <c r="R119" s="1017"/>
    </row>
    <row r="120" spans="1:18" ht="15" customHeight="1">
      <c r="A120" s="629"/>
      <c r="B120" s="1200"/>
      <c r="C120" s="1200"/>
      <c r="D120" s="1200"/>
      <c r="E120" s="1200"/>
      <c r="F120" s="340"/>
      <c r="G120" s="120" t="s">
        <v>175</v>
      </c>
      <c r="H120" s="1204" t="s">
        <v>176</v>
      </c>
      <c r="I120" s="1205"/>
      <c r="J120" s="1206"/>
      <c r="K120" s="120" t="s">
        <v>177</v>
      </c>
      <c r="L120" s="629"/>
      <c r="M120" s="629"/>
      <c r="N120" s="340"/>
      <c r="O120" s="340"/>
      <c r="P120" s="1018">
        <v>11</v>
      </c>
      <c r="Q120" s="1019">
        <v>1.1539999999999999</v>
      </c>
      <c r="R120" s="1017"/>
    </row>
    <row r="121" spans="1:18" ht="15" customHeight="1">
      <c r="A121" s="629"/>
      <c r="B121" s="995"/>
      <c r="C121" s="995"/>
      <c r="D121" s="995"/>
      <c r="E121" s="996"/>
      <c r="F121" s="340"/>
      <c r="G121" s="1180" t="s">
        <v>179</v>
      </c>
      <c r="H121" s="1180"/>
      <c r="I121" s="1180"/>
      <c r="J121" s="1180"/>
      <c r="K121" s="1180"/>
      <c r="L121" s="629"/>
      <c r="M121" s="629"/>
      <c r="N121" s="340"/>
      <c r="O121" s="630"/>
      <c r="P121" s="1018">
        <v>12</v>
      </c>
      <c r="Q121" s="1019">
        <v>1.117</v>
      </c>
      <c r="R121" s="1017"/>
    </row>
    <row r="122" spans="1:18" ht="15" customHeight="1">
      <c r="A122" s="46"/>
      <c r="B122" s="995"/>
      <c r="C122" s="995"/>
      <c r="D122" s="995"/>
      <c r="E122" s="996"/>
      <c r="F122" s="340"/>
      <c r="G122" s="1181"/>
      <c r="H122" s="1181"/>
      <c r="I122" s="1181"/>
      <c r="J122" s="1181"/>
      <c r="K122" s="1181"/>
      <c r="L122" s="629"/>
      <c r="M122" s="629"/>
      <c r="N122" s="629"/>
      <c r="O122" s="631"/>
      <c r="P122" s="1018">
        <v>13</v>
      </c>
      <c r="Q122" s="1019">
        <v>1.083</v>
      </c>
      <c r="R122" s="1017"/>
    </row>
    <row r="123" spans="1:18" ht="15" customHeight="1">
      <c r="A123" s="629"/>
      <c r="B123" s="995"/>
      <c r="C123" s="995"/>
      <c r="D123" s="995"/>
      <c r="E123" s="997"/>
      <c r="F123" s="227"/>
      <c r="G123" s="227"/>
      <c r="H123" s="629"/>
      <c r="I123" s="629"/>
      <c r="J123" s="629"/>
      <c r="K123" s="629"/>
      <c r="L123" s="629"/>
      <c r="M123" s="629"/>
      <c r="N123" s="629"/>
      <c r="O123" s="631"/>
      <c r="P123" s="1018">
        <f>(P122+P124)/2</f>
        <v>13.5</v>
      </c>
      <c r="Q123" s="1018">
        <f>(Q122+Q124)/2</f>
        <v>1.0665</v>
      </c>
      <c r="R123" s="1017"/>
    </row>
    <row r="124" spans="1:18" ht="15" customHeight="1">
      <c r="A124" s="629"/>
      <c r="B124" s="629"/>
      <c r="C124" s="629"/>
      <c r="D124" s="107"/>
      <c r="E124" s="629"/>
      <c r="F124" s="227"/>
      <c r="G124" s="227"/>
      <c r="H124" s="629"/>
      <c r="I124" s="629"/>
      <c r="J124" s="629"/>
      <c r="K124" s="629"/>
      <c r="L124" s="629"/>
      <c r="M124" s="629"/>
      <c r="N124" s="629"/>
      <c r="O124" s="631"/>
      <c r="P124" s="1018">
        <v>14</v>
      </c>
      <c r="Q124" s="1019">
        <v>1.05</v>
      </c>
      <c r="R124" s="1017"/>
    </row>
    <row r="125" spans="1:18" ht="15" customHeight="1">
      <c r="A125" s="1182" t="s">
        <v>895</v>
      </c>
      <c r="B125" s="1182"/>
      <c r="C125" s="1183"/>
      <c r="D125" s="1182"/>
      <c r="E125" s="503"/>
      <c r="F125" s="227"/>
      <c r="G125" s="227"/>
      <c r="H125" s="629"/>
      <c r="I125" s="629"/>
      <c r="J125" s="629"/>
      <c r="K125" s="629"/>
      <c r="L125" s="1184"/>
      <c r="M125" s="1185"/>
      <c r="N125" s="1186" t="s">
        <v>180</v>
      </c>
      <c r="O125" s="1187"/>
      <c r="P125" s="1018">
        <f>(P124+P126)/2</f>
        <v>14.5</v>
      </c>
      <c r="Q125" s="1018">
        <f>(Q124+Q126)/2</f>
        <v>1.034</v>
      </c>
      <c r="R125" s="1017"/>
    </row>
    <row r="126" spans="1:18" ht="15" customHeight="1">
      <c r="A126" s="995"/>
      <c r="B126" s="1001" t="s">
        <v>181</v>
      </c>
      <c r="C126" s="186">
        <v>10</v>
      </c>
      <c r="D126" s="998" t="s">
        <v>182</v>
      </c>
      <c r="F126" s="227"/>
      <c r="G126" s="227"/>
      <c r="H126" s="629"/>
      <c r="I126" s="629"/>
      <c r="J126" s="629"/>
      <c r="K126" s="629"/>
      <c r="L126" s="1188" t="s">
        <v>183</v>
      </c>
      <c r="M126" s="1189"/>
      <c r="N126" s="1190" t="s">
        <v>184</v>
      </c>
      <c r="O126" s="1191"/>
      <c r="P126" s="1018">
        <v>15</v>
      </c>
      <c r="Q126" s="1019">
        <v>1.018</v>
      </c>
      <c r="R126" s="1017"/>
    </row>
    <row r="127" spans="1:18" ht="15" customHeight="1">
      <c r="A127" s="995"/>
      <c r="B127" s="1177" t="s">
        <v>185</v>
      </c>
      <c r="C127" s="1178"/>
      <c r="D127" s="1081" t="s">
        <v>186</v>
      </c>
      <c r="E127" s="1082"/>
      <c r="F127" s="993" t="s">
        <v>89</v>
      </c>
      <c r="G127" s="1008" t="s">
        <v>187</v>
      </c>
      <c r="H127" s="1000" t="s">
        <v>986</v>
      </c>
      <c r="I127" s="629"/>
      <c r="J127" s="629"/>
      <c r="K127" s="629"/>
      <c r="L127" s="1175" t="s">
        <v>188</v>
      </c>
      <c r="M127" s="1176"/>
      <c r="N127" s="755">
        <v>12.7</v>
      </c>
      <c r="O127" s="760">
        <f t="shared" ref="O127:O147" si="0">N127*N$149/1000</f>
        <v>10.025379999999998</v>
      </c>
      <c r="P127" s="1018">
        <f>(P126+P128)/2</f>
        <v>15.5</v>
      </c>
      <c r="Q127" s="1018">
        <f>(Q126+Q128)/2</f>
        <v>1.0015000000000001</v>
      </c>
      <c r="R127" s="1017"/>
    </row>
    <row r="128" spans="1:18" ht="15" customHeight="1">
      <c r="A128" s="995"/>
      <c r="B128" s="978">
        <v>500</v>
      </c>
      <c r="C128" s="973" t="s">
        <v>70</v>
      </c>
      <c r="D128" s="1083">
        <v>1</v>
      </c>
      <c r="E128" s="1084"/>
      <c r="F128" s="994">
        <v>3.8</v>
      </c>
      <c r="G128" s="32">
        <f>(B128*F128*D128)/(100*C126)</f>
        <v>1.9</v>
      </c>
      <c r="H128" s="1000" t="str">
        <f>D128*B128&amp;"ml"</f>
        <v>500ml</v>
      </c>
      <c r="I128" s="629"/>
      <c r="J128" s="629"/>
      <c r="K128" s="629"/>
      <c r="L128" s="1145" t="s">
        <v>189</v>
      </c>
      <c r="M128" s="1173"/>
      <c r="N128" s="756">
        <v>7.62</v>
      </c>
      <c r="O128" s="761">
        <f t="shared" si="0"/>
        <v>6.0152280000000005</v>
      </c>
      <c r="P128" s="1018">
        <v>16</v>
      </c>
      <c r="Q128" s="1019">
        <v>0.98499999999999999</v>
      </c>
      <c r="R128" s="1017"/>
    </row>
    <row r="129" spans="1:18" ht="15" customHeight="1">
      <c r="A129" s="995"/>
      <c r="B129" s="978">
        <v>1</v>
      </c>
      <c r="C129" s="187" t="s">
        <v>987</v>
      </c>
      <c r="D129" s="1083">
        <v>2</v>
      </c>
      <c r="E129" s="1084"/>
      <c r="F129" s="994">
        <f>F128</f>
        <v>3.8</v>
      </c>
      <c r="G129" s="32">
        <f>(B129*568.3*F129*D129)/(100*C126)</f>
        <v>4.3190799999999987</v>
      </c>
      <c r="H129" s="1007" t="str">
        <f>D129*FIXED(B129*568,0)&amp;"ml"</f>
        <v>1136ml</v>
      </c>
      <c r="I129" s="629"/>
      <c r="J129" s="629"/>
      <c r="K129" s="629"/>
      <c r="L129" s="1163" t="s">
        <v>190</v>
      </c>
      <c r="M129" s="1164"/>
      <c r="N129" s="756">
        <v>17.2</v>
      </c>
      <c r="O129" s="761">
        <f t="shared" si="0"/>
        <v>13.577679999999999</v>
      </c>
      <c r="P129" s="1018">
        <f>(P128+P130)/2</f>
        <v>16.5</v>
      </c>
      <c r="Q129" s="1018">
        <f>(Q128+Q130)/2</f>
        <v>0.97049999999999992</v>
      </c>
      <c r="R129" s="1017"/>
    </row>
    <row r="130" spans="1:18" ht="15" customHeight="1">
      <c r="A130" s="995"/>
      <c r="B130" s="978">
        <v>16</v>
      </c>
      <c r="C130" s="7" t="s">
        <v>985</v>
      </c>
      <c r="D130" s="1083">
        <v>3</v>
      </c>
      <c r="E130" s="1084"/>
      <c r="F130" s="994">
        <f>F129</f>
        <v>3.8</v>
      </c>
      <c r="G130" s="256">
        <f>(B130*F130*D130/0.0338)/(100*C126)</f>
        <v>5.3964497041420119</v>
      </c>
      <c r="H130" s="1007" t="str">
        <f>D130*FIXED(B130*29.5735,0)&amp;"ml"</f>
        <v>1419ml</v>
      </c>
      <c r="I130" s="629"/>
      <c r="J130" s="629"/>
      <c r="K130" s="629"/>
      <c r="L130" s="1159" t="s">
        <v>191</v>
      </c>
      <c r="M130" s="1160"/>
      <c r="N130" s="757">
        <v>15.2</v>
      </c>
      <c r="O130" s="761">
        <f t="shared" si="0"/>
        <v>11.99888</v>
      </c>
      <c r="P130" s="1018">
        <v>17</v>
      </c>
      <c r="Q130" s="1019">
        <v>0.95599999999999996</v>
      </c>
      <c r="R130" s="1017"/>
    </row>
    <row r="131" spans="1:18" ht="15" customHeight="1">
      <c r="A131" s="1020"/>
      <c r="B131" s="1020"/>
      <c r="C131" s="1020"/>
      <c r="D131" s="1020"/>
      <c r="E131" s="1020"/>
      <c r="F131" s="1020"/>
      <c r="G131" s="1020"/>
      <c r="H131" s="1020"/>
      <c r="I131" s="629"/>
      <c r="J131" s="629"/>
      <c r="K131" s="629"/>
      <c r="L131" s="1161" t="s">
        <v>192</v>
      </c>
      <c r="M131" s="1162"/>
      <c r="N131" s="757">
        <v>15.2</v>
      </c>
      <c r="O131" s="761">
        <f t="shared" si="0"/>
        <v>11.99888</v>
      </c>
      <c r="P131" s="1018">
        <f>(P130+P132)/2</f>
        <v>17.5</v>
      </c>
      <c r="Q131" s="1018">
        <f>(Q130+Q132)/2</f>
        <v>0.94199999999999995</v>
      </c>
      <c r="R131" s="1017"/>
    </row>
    <row r="132" spans="1:18" ht="15" customHeight="1">
      <c r="A132" s="1020"/>
      <c r="B132" s="1020"/>
      <c r="C132" s="1020"/>
      <c r="D132" s="191"/>
      <c r="E132" s="1020"/>
      <c r="F132" s="1020"/>
      <c r="G132" s="1020"/>
      <c r="H132" s="1020"/>
      <c r="I132" s="629"/>
      <c r="J132" s="629"/>
      <c r="K132" s="629"/>
      <c r="L132" s="1159" t="s">
        <v>193</v>
      </c>
      <c r="M132" s="1160"/>
      <c r="N132" s="757">
        <v>12.7</v>
      </c>
      <c r="O132" s="761">
        <f t="shared" si="0"/>
        <v>10.025379999999998</v>
      </c>
      <c r="P132" s="1018">
        <v>18</v>
      </c>
      <c r="Q132" s="1019">
        <v>0.92800000000000005</v>
      </c>
      <c r="R132" s="1017"/>
    </row>
    <row r="133" spans="1:18" ht="15" customHeight="1">
      <c r="A133" s="1020"/>
      <c r="B133" s="1020"/>
      <c r="C133" s="1020"/>
      <c r="D133" s="1179" t="s">
        <v>178</v>
      </c>
      <c r="E133" s="1179"/>
      <c r="F133" s="1179"/>
      <c r="G133" s="1020"/>
      <c r="H133" s="1020"/>
      <c r="I133" s="629"/>
      <c r="J133" s="629"/>
      <c r="K133" s="629"/>
      <c r="L133" s="1163" t="s">
        <v>194</v>
      </c>
      <c r="M133" s="1164"/>
      <c r="N133" s="756">
        <v>21.5</v>
      </c>
      <c r="O133" s="761">
        <f t="shared" si="0"/>
        <v>16.972099999999998</v>
      </c>
      <c r="P133" s="1018">
        <f>(P132+P134)/2</f>
        <v>18.5</v>
      </c>
      <c r="Q133" s="1018">
        <f>(Q132+Q134)/2</f>
        <v>0.91500000000000004</v>
      </c>
      <c r="R133" s="1017"/>
    </row>
    <row r="134" spans="1:18" ht="15" customHeight="1">
      <c r="A134" s="999"/>
      <c r="B134" s="1020"/>
      <c r="C134" s="1020"/>
      <c r="D134" s="1179"/>
      <c r="E134" s="1179"/>
      <c r="F134" s="1179"/>
      <c r="G134" s="1020"/>
      <c r="H134" s="1020"/>
      <c r="I134" s="1011"/>
      <c r="J134" s="1011"/>
      <c r="K134" s="1011"/>
      <c r="L134" s="1161" t="s">
        <v>195</v>
      </c>
      <c r="M134" s="1162"/>
      <c r="N134" s="757">
        <v>10</v>
      </c>
      <c r="O134" s="761">
        <f t="shared" si="0"/>
        <v>7.8940000000000001</v>
      </c>
      <c r="P134" s="1018">
        <v>19</v>
      </c>
      <c r="Q134" s="1019">
        <v>0.90200000000000002</v>
      </c>
      <c r="R134" s="1017"/>
    </row>
    <row r="135" spans="1:18" ht="15" customHeight="1">
      <c r="A135" s="629"/>
      <c r="B135" s="1011"/>
      <c r="C135" s="1011"/>
      <c r="D135" s="1179"/>
      <c r="E135" s="1179"/>
      <c r="F135" s="1179"/>
      <c r="G135" s="1011"/>
      <c r="H135" s="1011"/>
      <c r="I135" s="1011"/>
      <c r="J135" s="1011"/>
      <c r="K135" s="1011"/>
      <c r="L135" s="1159" t="s">
        <v>196</v>
      </c>
      <c r="M135" s="1160"/>
      <c r="N135" s="757">
        <v>12.7</v>
      </c>
      <c r="O135" s="761">
        <f t="shared" si="0"/>
        <v>10.025379999999998</v>
      </c>
      <c r="P135" s="1018">
        <f>(P134+P136)/2</f>
        <v>19.5</v>
      </c>
      <c r="Q135" s="1018">
        <f>(Q134+Q136)/2</f>
        <v>0.88949999999999996</v>
      </c>
      <c r="R135" s="1017"/>
    </row>
    <row r="136" spans="1:18" ht="15" customHeight="1">
      <c r="A136" s="1120" t="s">
        <v>951</v>
      </c>
      <c r="B136" s="1120"/>
      <c r="C136" s="1120"/>
      <c r="D136" s="1120"/>
      <c r="E136" s="1120"/>
      <c r="F136" s="1011"/>
      <c r="G136" s="1011"/>
      <c r="H136" s="1011"/>
      <c r="I136" s="1011"/>
      <c r="J136" s="1011"/>
      <c r="K136" s="1011"/>
      <c r="L136" s="1163" t="s">
        <v>197</v>
      </c>
      <c r="M136" s="1164"/>
      <c r="N136" s="757">
        <v>12.7</v>
      </c>
      <c r="O136" s="761">
        <f t="shared" si="0"/>
        <v>10.025379999999998</v>
      </c>
      <c r="P136" s="1018">
        <v>20</v>
      </c>
      <c r="Q136" s="1019">
        <v>0.877</v>
      </c>
      <c r="R136" s="1017"/>
    </row>
    <row r="137" spans="1:18" ht="15" customHeight="1">
      <c r="A137" s="629"/>
      <c r="B137" s="629"/>
      <c r="C137" s="977" t="s">
        <v>89</v>
      </c>
      <c r="D137" s="1081" t="s">
        <v>202</v>
      </c>
      <c r="E137" s="1082"/>
      <c r="F137" s="1119"/>
      <c r="G137" s="1011"/>
      <c r="H137" s="1011"/>
      <c r="I137" s="1011"/>
      <c r="J137" s="1011"/>
      <c r="K137" s="1011"/>
      <c r="L137" s="1171" t="s">
        <v>198</v>
      </c>
      <c r="M137" s="1172"/>
      <c r="N137" s="757">
        <v>25</v>
      </c>
      <c r="O137" s="761">
        <f t="shared" si="0"/>
        <v>19.734999999999999</v>
      </c>
      <c r="P137" s="1018">
        <f>(P136+P138)/2</f>
        <v>20.5</v>
      </c>
      <c r="Q137" s="1018">
        <f>(Q136+Q138)/2</f>
        <v>0.86450000000000005</v>
      </c>
      <c r="R137" s="1017"/>
    </row>
    <row r="138" spans="1:18" ht="15" customHeight="1">
      <c r="A138" s="629"/>
      <c r="B138" s="629"/>
      <c r="C138" s="1024">
        <v>18</v>
      </c>
      <c r="D138" s="1081" t="str">
        <f>FIXED((-0.00074*(2*C138)^2.1-0.182*C138*2),1)&amp;"°C ("&amp;FIXED(((((-0.00074*(2*C138)^2.1-0.182*C138*2)+40)*9/5)-40),0)&amp;"°F)"</f>
        <v>-7.9°C (18°F)</v>
      </c>
      <c r="E138" s="1082"/>
      <c r="F138" s="1119"/>
      <c r="G138" s="1011"/>
      <c r="H138" s="1011"/>
      <c r="I138" s="1011"/>
      <c r="J138" s="1011"/>
      <c r="K138" s="1011"/>
      <c r="L138" s="1163" t="s">
        <v>199</v>
      </c>
      <c r="M138" s="1164"/>
      <c r="N138" s="757">
        <v>12.5</v>
      </c>
      <c r="O138" s="761">
        <f t="shared" si="0"/>
        <v>9.8674999999999997</v>
      </c>
      <c r="P138" s="1018">
        <v>21</v>
      </c>
      <c r="Q138" s="1019">
        <v>0.85199999999999998</v>
      </c>
      <c r="R138" s="1017"/>
    </row>
    <row r="139" spans="1:18" ht="15" customHeight="1">
      <c r="A139" s="629"/>
      <c r="B139" s="629"/>
      <c r="C139" s="1174" t="s">
        <v>905</v>
      </c>
      <c r="D139" s="1174"/>
      <c r="E139" s="1174"/>
      <c r="F139" s="1174"/>
      <c r="G139" s="1011"/>
      <c r="H139" s="1011"/>
      <c r="I139" s="1011"/>
      <c r="J139" s="1011"/>
      <c r="K139" s="1011"/>
      <c r="L139" s="1163" t="s">
        <v>200</v>
      </c>
      <c r="M139" s="1164"/>
      <c r="N139" s="757">
        <v>12.7</v>
      </c>
      <c r="O139" s="761">
        <f t="shared" si="0"/>
        <v>10.025379999999998</v>
      </c>
      <c r="P139" s="1018">
        <f>(P138+P140)/2</f>
        <v>21.5</v>
      </c>
      <c r="Q139" s="1018">
        <f>(Q138+Q140)/2</f>
        <v>0.83949999999999991</v>
      </c>
      <c r="R139" s="1017"/>
    </row>
    <row r="140" spans="1:18" ht="15" customHeight="1">
      <c r="A140" s="995"/>
      <c r="B140" s="995"/>
      <c r="C140" s="995"/>
      <c r="D140" s="995"/>
      <c r="E140" s="995"/>
      <c r="F140" s="995"/>
      <c r="G140" s="639"/>
      <c r="H140" s="1011"/>
      <c r="I140" s="1011"/>
      <c r="J140" s="1011"/>
      <c r="K140" s="1011"/>
      <c r="L140" s="1163" t="s">
        <v>201</v>
      </c>
      <c r="M140" s="1164"/>
      <c r="N140" s="757">
        <v>12.7</v>
      </c>
      <c r="O140" s="761">
        <f t="shared" si="0"/>
        <v>10.025379999999998</v>
      </c>
      <c r="P140" s="1018">
        <v>22</v>
      </c>
      <c r="Q140" s="1019">
        <v>0.82699999999999996</v>
      </c>
      <c r="R140" s="1017"/>
    </row>
    <row r="141" spans="1:18" ht="15" customHeight="1">
      <c r="A141" s="995"/>
      <c r="B141" s="995"/>
      <c r="C141" s="995"/>
      <c r="D141" s="995"/>
      <c r="E141" s="995"/>
      <c r="F141" s="995"/>
      <c r="G141" s="639"/>
      <c r="H141" s="1011"/>
      <c r="I141" s="1011"/>
      <c r="J141" s="1011"/>
      <c r="K141" s="1011"/>
      <c r="L141" s="1159" t="s">
        <v>203</v>
      </c>
      <c r="M141" s="1160"/>
      <c r="N141" s="757">
        <v>17.7</v>
      </c>
      <c r="O141" s="761">
        <f t="shared" si="0"/>
        <v>13.972379999999999</v>
      </c>
      <c r="P141" s="1018">
        <f>(P140+P142)/2</f>
        <v>22.5</v>
      </c>
      <c r="Q141" s="1018">
        <f>(Q140+Q142)/2</f>
        <v>0.8145</v>
      </c>
      <c r="R141" s="1017"/>
    </row>
    <row r="142" spans="1:18" ht="15" customHeight="1">
      <c r="A142" s="1143" t="s">
        <v>208</v>
      </c>
      <c r="B142" s="1143"/>
      <c r="C142" s="1144" t="s">
        <v>209</v>
      </c>
      <c r="D142" s="1144"/>
      <c r="E142" s="1144"/>
      <c r="F142" s="1144"/>
      <c r="G142" s="1144"/>
      <c r="H142" s="1144"/>
      <c r="I142" s="1144"/>
      <c r="J142" s="979"/>
      <c r="K142" s="979"/>
      <c r="L142" s="1159" t="s">
        <v>204</v>
      </c>
      <c r="M142" s="1160"/>
      <c r="N142" s="757">
        <v>12.7</v>
      </c>
      <c r="O142" s="761">
        <f t="shared" si="0"/>
        <v>10.025379999999998</v>
      </c>
      <c r="P142" s="1018">
        <v>23</v>
      </c>
      <c r="Q142" s="1019">
        <v>0.80200000000000005</v>
      </c>
      <c r="R142" s="1017"/>
    </row>
    <row r="143" spans="1:18" ht="15" customHeight="1">
      <c r="A143" s="629"/>
      <c r="B143" s="303" t="s">
        <v>211</v>
      </c>
      <c r="C143" s="433">
        <v>1100</v>
      </c>
      <c r="D143" s="1147" t="s">
        <v>994</v>
      </c>
      <c r="E143" s="1148"/>
      <c r="F143" s="1035" t="s">
        <v>212</v>
      </c>
      <c r="G143" s="1149" t="s">
        <v>213</v>
      </c>
      <c r="H143" s="1150"/>
      <c r="I143" s="207">
        <f>C143+F144-C144+F145-C145</f>
        <v>1114</v>
      </c>
      <c r="J143" s="979"/>
      <c r="K143" s="979"/>
      <c r="L143" s="1159" t="s">
        <v>205</v>
      </c>
      <c r="M143" s="1160"/>
      <c r="N143" s="757">
        <v>10</v>
      </c>
      <c r="O143" s="761">
        <f t="shared" si="0"/>
        <v>7.8940000000000001</v>
      </c>
      <c r="P143" s="1018">
        <f>(P142+P144)/2</f>
        <v>23.5</v>
      </c>
      <c r="Q143" s="1018">
        <f>(Q142+Q144)/2</f>
        <v>0.79150000000000009</v>
      </c>
      <c r="R143" s="1017"/>
    </row>
    <row r="144" spans="1:18" ht="15" customHeight="1">
      <c r="A144" s="629"/>
      <c r="B144" s="981" t="s">
        <v>215</v>
      </c>
      <c r="C144" s="41">
        <v>1010</v>
      </c>
      <c r="D144" s="1129" t="s">
        <v>216</v>
      </c>
      <c r="E144" s="1130"/>
      <c r="F144" s="41">
        <v>1024</v>
      </c>
      <c r="G144" s="1131" t="s">
        <v>217</v>
      </c>
      <c r="H144" s="1132"/>
      <c r="I144" s="208">
        <f>I143-((C143-C144)+(F144-C145)+(F145-C146))</f>
        <v>990</v>
      </c>
      <c r="J144" s="979"/>
      <c r="K144" s="979"/>
      <c r="L144" s="1161" t="s">
        <v>206</v>
      </c>
      <c r="M144" s="1162"/>
      <c r="N144" s="758">
        <v>17.7</v>
      </c>
      <c r="O144" s="761">
        <f t="shared" si="0"/>
        <v>13.972379999999999</v>
      </c>
      <c r="P144" s="1018">
        <v>24</v>
      </c>
      <c r="Q144" s="1019">
        <v>0.78100000000000003</v>
      </c>
      <c r="R144" s="1017"/>
    </row>
    <row r="145" spans="1:18" ht="15" customHeight="1">
      <c r="A145" s="629"/>
      <c r="B145" s="981" t="s">
        <v>219</v>
      </c>
      <c r="C145" s="41"/>
      <c r="D145" s="1167" t="s">
        <v>216</v>
      </c>
      <c r="E145" s="1168"/>
      <c r="F145" s="434"/>
      <c r="G145" s="1169" t="s">
        <v>220</v>
      </c>
      <c r="H145" s="1170"/>
      <c r="I145" s="209">
        <f>(I143-I144)/(7.75-(3*(I143-1000)/800))</f>
        <v>16.934107203823832</v>
      </c>
      <c r="J145" s="979"/>
      <c r="K145" s="979"/>
      <c r="L145" s="1145" t="s">
        <v>207</v>
      </c>
      <c r="M145" s="1146"/>
      <c r="N145" s="759"/>
      <c r="O145" s="761">
        <f t="shared" si="0"/>
        <v>0</v>
      </c>
      <c r="P145" s="1018">
        <f>(P144+P146)/2</f>
        <v>24.5</v>
      </c>
      <c r="Q145" s="1018">
        <f>(Q144+Q146)/2</f>
        <v>0.77</v>
      </c>
      <c r="R145" s="1017"/>
    </row>
    <row r="146" spans="1:18" ht="15" customHeight="1">
      <c r="A146" s="629"/>
      <c r="B146" s="988" t="s">
        <v>221</v>
      </c>
      <c r="C146" s="434">
        <v>990</v>
      </c>
      <c r="D146" s="1153" t="s">
        <v>222</v>
      </c>
      <c r="E146" s="1154"/>
      <c r="F146" s="1154"/>
      <c r="G146" s="1154"/>
      <c r="H146" s="1154"/>
      <c r="I146" s="1155"/>
      <c r="J146" s="979"/>
      <c r="K146" s="979"/>
      <c r="L146" s="1145" t="s">
        <v>210</v>
      </c>
      <c r="M146" s="1146"/>
      <c r="N146" s="759"/>
      <c r="O146" s="761">
        <f t="shared" si="0"/>
        <v>0</v>
      </c>
      <c r="P146" s="1018">
        <v>25</v>
      </c>
      <c r="Q146" s="1019">
        <v>0.75900000000000001</v>
      </c>
      <c r="R146" s="1017"/>
    </row>
    <row r="147" spans="1:18" ht="15" customHeight="1">
      <c r="A147" s="629"/>
      <c r="B147" s="1156" t="s">
        <v>223</v>
      </c>
      <c r="C147" s="1156"/>
      <c r="D147" s="1156"/>
      <c r="E147" s="1156"/>
      <c r="F147" s="1156"/>
      <c r="G147" s="1156"/>
      <c r="H147" s="1156"/>
      <c r="I147" s="1156"/>
      <c r="J147" s="979"/>
      <c r="K147" s="979"/>
      <c r="L147" s="1151" t="s">
        <v>214</v>
      </c>
      <c r="M147" s="1152"/>
      <c r="N147" s="759"/>
      <c r="O147" s="762">
        <f t="shared" si="0"/>
        <v>0</v>
      </c>
      <c r="P147" s="1018">
        <f>(P146+P148)/2</f>
        <v>25.5</v>
      </c>
      <c r="Q147" s="1018">
        <f>(Q146+Q148)/2</f>
        <v>0.74849999999999994</v>
      </c>
      <c r="R147" s="1017"/>
    </row>
    <row r="148" spans="1:18" ht="15" customHeight="1">
      <c r="A148" s="629"/>
      <c r="B148" s="1157"/>
      <c r="C148" s="1157"/>
      <c r="D148" s="1157"/>
      <c r="E148" s="1157"/>
      <c r="F148" s="1157"/>
      <c r="G148" s="1157"/>
      <c r="H148" s="1157"/>
      <c r="I148" s="1157"/>
      <c r="J148" s="979"/>
      <c r="K148" s="979"/>
      <c r="L148" s="1133" t="s">
        <v>933</v>
      </c>
      <c r="M148" s="1134"/>
      <c r="N148" s="1165" t="s">
        <v>218</v>
      </c>
      <c r="O148" s="1166"/>
      <c r="P148" s="1018">
        <v>26</v>
      </c>
      <c r="Q148" s="1019">
        <v>0.73799999999999999</v>
      </c>
      <c r="R148" s="1017"/>
    </row>
    <row r="149" spans="1:18" ht="15" customHeight="1">
      <c r="A149" s="995"/>
      <c r="B149" s="1158" t="s">
        <v>224</v>
      </c>
      <c r="C149" s="1158"/>
      <c r="D149" s="995"/>
      <c r="E149" s="995"/>
      <c r="F149" s="995"/>
      <c r="G149" s="995"/>
      <c r="H149" s="995"/>
      <c r="I149" s="995"/>
      <c r="J149" s="639"/>
      <c r="K149" s="979"/>
      <c r="L149" s="1135"/>
      <c r="M149" s="1136"/>
      <c r="N149" s="634">
        <v>789.4</v>
      </c>
      <c r="O149" s="635" t="s">
        <v>934</v>
      </c>
      <c r="P149" s="1018">
        <v>27</v>
      </c>
      <c r="Q149" s="1019">
        <v>0.71799999999999997</v>
      </c>
      <c r="R149" s="1017"/>
    </row>
    <row r="150" spans="1:18" ht="15" customHeight="1">
      <c r="A150" s="995"/>
      <c r="B150" s="995"/>
      <c r="C150" s="995"/>
      <c r="D150" s="995"/>
      <c r="E150" s="995"/>
      <c r="F150" s="995"/>
      <c r="G150" s="995"/>
      <c r="H150" s="995"/>
      <c r="I150" s="995"/>
      <c r="J150" s="639"/>
      <c r="K150" s="979"/>
      <c r="L150" s="629"/>
      <c r="M150" s="987"/>
      <c r="N150" s="987"/>
      <c r="O150" s="632"/>
      <c r="P150" s="1018">
        <v>28</v>
      </c>
      <c r="Q150" s="1019">
        <v>0.69899999999999995</v>
      </c>
      <c r="R150" s="1014"/>
    </row>
    <row r="151" spans="1:18" ht="15" customHeight="1">
      <c r="A151" s="995"/>
      <c r="B151" s="995"/>
      <c r="C151" s="995"/>
      <c r="D151" s="995"/>
      <c r="E151" s="995"/>
      <c r="F151" s="995"/>
      <c r="G151" s="995"/>
      <c r="H151" s="995"/>
      <c r="I151" s="995"/>
      <c r="J151" s="639"/>
      <c r="K151" s="629"/>
      <c r="L151" s="629"/>
      <c r="M151" s="987"/>
      <c r="N151" s="979"/>
      <c r="O151" s="633"/>
      <c r="P151" s="1018">
        <v>29</v>
      </c>
      <c r="Q151" s="1019">
        <v>0.68200000000000005</v>
      </c>
      <c r="R151" s="1014"/>
    </row>
    <row r="152" spans="1:18" ht="15" customHeight="1">
      <c r="A152" s="1120" t="s">
        <v>12</v>
      </c>
      <c r="B152" s="1120"/>
      <c r="C152" s="1120"/>
      <c r="D152" s="989"/>
      <c r="E152" s="989"/>
      <c r="F152" s="989"/>
      <c r="G152" s="989"/>
      <c r="H152" s="989"/>
      <c r="I152" s="989"/>
      <c r="J152" s="989"/>
      <c r="K152" s="990"/>
      <c r="L152" s="990"/>
      <c r="M152" s="990"/>
      <c r="N152" s="990"/>
      <c r="O152" s="990"/>
      <c r="P152" s="1018">
        <v>30</v>
      </c>
      <c r="Q152" s="1019">
        <v>0.66500000000000004</v>
      </c>
      <c r="R152" s="1014"/>
    </row>
    <row r="153" spans="1:18" ht="15" customHeight="1">
      <c r="A153" s="399"/>
      <c r="B153" s="1122" t="s">
        <v>225</v>
      </c>
      <c r="C153" s="1122"/>
      <c r="D153" s="1122"/>
      <c r="E153" s="436" t="s">
        <v>62</v>
      </c>
      <c r="F153" s="436" t="s">
        <v>64</v>
      </c>
      <c r="G153" s="436" t="s">
        <v>226</v>
      </c>
      <c r="H153" s="1123" t="s">
        <v>871</v>
      </c>
      <c r="I153" s="1124"/>
      <c r="J153" s="1125"/>
      <c r="K153" s="1103" t="s">
        <v>227</v>
      </c>
      <c r="L153" s="1104"/>
      <c r="M153" s="1104"/>
      <c r="N153" s="1104"/>
      <c r="O153" s="1104"/>
      <c r="P153" s="1105"/>
      <c r="Q153" s="106"/>
      <c r="R153" s="797"/>
    </row>
    <row r="154" spans="1:18" ht="15" customHeight="1">
      <c r="A154" s="399"/>
      <c r="B154" s="1137" t="s">
        <v>952</v>
      </c>
      <c r="C154" s="1137"/>
      <c r="D154" s="1137"/>
      <c r="E154" s="437"/>
      <c r="F154" s="438" t="s">
        <v>228</v>
      </c>
      <c r="G154" s="437" t="s">
        <v>229</v>
      </c>
      <c r="H154" s="1126"/>
      <c r="I154" s="1127"/>
      <c r="J154" s="1128"/>
      <c r="K154" s="1106"/>
      <c r="L154" s="1107"/>
      <c r="M154" s="1107"/>
      <c r="N154" s="1107"/>
      <c r="O154" s="1107"/>
      <c r="P154" s="1108"/>
      <c r="Q154" s="106"/>
      <c r="R154" s="797"/>
    </row>
    <row r="155" spans="1:18" ht="15" customHeight="1">
      <c r="A155" s="399"/>
      <c r="B155" s="974" t="s">
        <v>230</v>
      </c>
      <c r="C155" s="439">
        <v>9</v>
      </c>
      <c r="D155" s="975" t="s">
        <v>231</v>
      </c>
      <c r="E155" s="440">
        <f>C155-F155</f>
        <v>4</v>
      </c>
      <c r="F155" s="439">
        <v>5</v>
      </c>
      <c r="G155" s="439">
        <v>5</v>
      </c>
      <c r="H155" s="1138" t="s">
        <v>232</v>
      </c>
      <c r="I155" s="1139"/>
      <c r="J155" s="1140"/>
      <c r="K155" s="1141" t="s">
        <v>233</v>
      </c>
      <c r="L155" s="1142"/>
      <c r="M155" s="441">
        <f>E155+G155</f>
        <v>9</v>
      </c>
      <c r="N155" s="1109" t="s">
        <v>234</v>
      </c>
      <c r="O155" s="1110"/>
      <c r="P155" s="1111"/>
      <c r="Q155" s="106"/>
      <c r="R155" s="797"/>
    </row>
    <row r="156" spans="1:18" ht="15" customHeight="1">
      <c r="A156" s="399"/>
      <c r="B156" s="442" t="s">
        <v>95</v>
      </c>
      <c r="C156" s="443">
        <v>1080</v>
      </c>
      <c r="D156" s="1112"/>
      <c r="E156" s="1036"/>
      <c r="F156" s="1037"/>
      <c r="G156" s="1038"/>
      <c r="H156" s="1113" t="s">
        <v>993</v>
      </c>
      <c r="I156" s="1114"/>
      <c r="J156" s="1113"/>
      <c r="K156" s="1115" t="s">
        <v>235</v>
      </c>
      <c r="L156" s="1116"/>
      <c r="M156" s="444">
        <f>(E157*G155+G157*E155)/(E155+G155)</f>
        <v>993</v>
      </c>
      <c r="N156" s="1115" t="s">
        <v>236</v>
      </c>
      <c r="O156" s="1117"/>
      <c r="P156" s="1116"/>
      <c r="Q156" s="975"/>
      <c r="R156" s="797"/>
    </row>
    <row r="157" spans="1:18" ht="15" customHeight="1">
      <c r="A157" s="399"/>
      <c r="B157" s="442" t="s">
        <v>96</v>
      </c>
      <c r="C157" s="443">
        <v>993</v>
      </c>
      <c r="D157" s="1112"/>
      <c r="E157" s="440">
        <f>C157</f>
        <v>993</v>
      </c>
      <c r="F157" s="445">
        <f>C157</f>
        <v>993</v>
      </c>
      <c r="G157" s="446">
        <f>1000+(C157-1000)*F155/G155</f>
        <v>993</v>
      </c>
      <c r="H157" s="1118" t="s">
        <v>237</v>
      </c>
      <c r="I157" s="1118"/>
      <c r="J157" s="1118"/>
      <c r="K157" s="1091" t="s">
        <v>238</v>
      </c>
      <c r="L157" s="1091"/>
      <c r="M157" s="447">
        <v>0</v>
      </c>
      <c r="N157" s="1092" t="str">
        <f>"g ̸ litre, equivalent to "&amp;FIXED(M157/M93)&amp;" tsp"</f>
        <v>g ̸ litre, equivalent to 0.00 tsp</v>
      </c>
      <c r="O157" s="1093"/>
      <c r="P157" s="1094"/>
      <c r="Q157" s="465"/>
      <c r="R157" s="797"/>
    </row>
    <row r="158" spans="1:18" ht="15" customHeight="1">
      <c r="A158" s="399"/>
      <c r="B158" s="986" t="s">
        <v>98</v>
      </c>
      <c r="C158" s="448">
        <f>(C156-C157)/(7.75-(3*(C156-1000)/800))</f>
        <v>11.677852348993289</v>
      </c>
      <c r="D158" s="449" t="s">
        <v>237</v>
      </c>
      <c r="E158" s="450">
        <f>C158</f>
        <v>11.677852348993289</v>
      </c>
      <c r="F158" s="451">
        <f>E158</f>
        <v>11.677852348993289</v>
      </c>
      <c r="G158" s="1025">
        <v>0</v>
      </c>
      <c r="H158" s="1095" t="s">
        <v>239</v>
      </c>
      <c r="I158" s="1095"/>
      <c r="J158" s="1095"/>
      <c r="K158" s="1096" t="s">
        <v>240</v>
      </c>
      <c r="L158" s="1097"/>
      <c r="M158" s="452">
        <f>(C158*E155+G155*G158)/M155+(0.001*M157*365)/(7.75-(3*(C157-1000)/800))</f>
        <v>5.1901565995525729</v>
      </c>
      <c r="N158" s="1098" t="s">
        <v>237</v>
      </c>
      <c r="O158" s="1099"/>
      <c r="P158" s="1100"/>
      <c r="Q158" s="975"/>
      <c r="R158" s="797"/>
    </row>
    <row r="159" spans="1:18" ht="15" customHeight="1">
      <c r="A159" s="399"/>
      <c r="B159" s="1101" t="s">
        <v>947</v>
      </c>
      <c r="C159" s="1101"/>
      <c r="D159" s="1101"/>
      <c r="E159" s="1101"/>
      <c r="F159" s="1101"/>
      <c r="G159" s="1101"/>
      <c r="H159" s="1101"/>
      <c r="I159" s="1101"/>
      <c r="J159" s="1101"/>
      <c r="K159" s="1101"/>
      <c r="L159" s="1101"/>
      <c r="M159" s="1101"/>
      <c r="N159" s="1101"/>
      <c r="O159" s="1101"/>
      <c r="P159" s="1101"/>
      <c r="Q159" s="970"/>
      <c r="R159" s="797"/>
    </row>
    <row r="160" spans="1:18" ht="15" customHeight="1">
      <c r="A160" s="399"/>
      <c r="B160" s="1102"/>
      <c r="C160" s="1102"/>
      <c r="D160" s="1102"/>
      <c r="E160" s="1102"/>
      <c r="F160" s="1102"/>
      <c r="G160" s="1102"/>
      <c r="H160" s="1102"/>
      <c r="I160" s="1102"/>
      <c r="J160" s="1102"/>
      <c r="K160" s="1102"/>
      <c r="L160" s="1102"/>
      <c r="M160" s="1102"/>
      <c r="N160" s="1102"/>
      <c r="O160" s="1102"/>
      <c r="P160" s="1102"/>
      <c r="Q160" s="970"/>
      <c r="R160" s="797"/>
    </row>
    <row r="161" spans="1:18" ht="15" customHeight="1">
      <c r="A161" s="629"/>
      <c r="B161" s="1085" t="s">
        <v>241</v>
      </c>
      <c r="C161" s="1085"/>
      <c r="D161" s="1085"/>
      <c r="E161" s="1085"/>
      <c r="F161" s="1085"/>
      <c r="G161" s="1085"/>
      <c r="H161" s="1085"/>
      <c r="I161" s="979"/>
      <c r="J161" s="979"/>
      <c r="K161" s="979"/>
      <c r="L161" s="979"/>
      <c r="M161" s="629"/>
      <c r="N161" s="629"/>
      <c r="O161" s="629"/>
      <c r="P161" s="629"/>
      <c r="Q161" s="629"/>
      <c r="R161" s="797"/>
    </row>
    <row r="162" spans="1:18" ht="15" customHeight="1">
      <c r="A162" s="629"/>
      <c r="B162" s="801"/>
      <c r="C162" s="801"/>
      <c r="D162" s="801"/>
      <c r="E162" s="979"/>
      <c r="F162" s="979"/>
      <c r="G162" s="979"/>
      <c r="H162" s="979"/>
      <c r="I162" s="979"/>
      <c r="J162" s="979"/>
      <c r="K162" s="979"/>
      <c r="L162" s="979"/>
      <c r="M162" s="629"/>
      <c r="N162" s="629"/>
      <c r="O162" s="629"/>
      <c r="P162" s="629"/>
      <c r="Q162" s="629"/>
      <c r="R162" s="797"/>
    </row>
    <row r="163" spans="1:18" ht="15" customHeight="1">
      <c r="A163" s="629"/>
      <c r="B163" s="979"/>
      <c r="C163" s="979"/>
      <c r="D163" s="979"/>
      <c r="E163" s="979"/>
      <c r="F163" s="979"/>
      <c r="G163" s="979"/>
      <c r="H163" s="979"/>
      <c r="I163" s="979"/>
      <c r="J163" s="979"/>
      <c r="K163" s="979"/>
      <c r="L163" s="979"/>
      <c r="M163" s="990"/>
      <c r="N163" s="990"/>
      <c r="O163" s="990"/>
      <c r="P163" s="990"/>
      <c r="Q163" s="990"/>
      <c r="R163" s="797"/>
    </row>
    <row r="164" spans="1:18" ht="14.25" customHeight="1">
      <c r="A164" s="1086" t="s">
        <v>945</v>
      </c>
      <c r="B164" s="1086"/>
      <c r="C164" s="1086"/>
      <c r="D164" s="979"/>
      <c r="E164" s="979"/>
      <c r="F164" s="453"/>
      <c r="G164" s="453"/>
      <c r="H164" s="979"/>
      <c r="I164" s="802" t="s">
        <v>242</v>
      </c>
      <c r="J164" s="191"/>
      <c r="K164" s="979"/>
      <c r="L164" s="629"/>
      <c r="M164" s="629"/>
      <c r="N164" s="629"/>
      <c r="O164" s="629"/>
      <c r="P164" s="629"/>
      <c r="Q164" s="629"/>
      <c r="R164" s="797"/>
    </row>
    <row r="165" spans="1:18" ht="17.45" customHeight="1">
      <c r="A165" s="629"/>
      <c r="B165" s="771" t="s">
        <v>944</v>
      </c>
      <c r="C165" s="772" t="s">
        <v>950</v>
      </c>
      <c r="D165" s="979"/>
      <c r="E165" s="979"/>
      <c r="F165" s="453"/>
      <c r="G165" s="453"/>
      <c r="H165" s="979"/>
      <c r="I165" s="979"/>
      <c r="J165" s="979"/>
      <c r="K165" s="979"/>
      <c r="L165" s="629"/>
      <c r="M165" s="629"/>
      <c r="N165" s="629"/>
      <c r="O165" s="629"/>
      <c r="P165" s="629"/>
      <c r="Q165" s="629"/>
      <c r="R165" s="797"/>
    </row>
    <row r="166" spans="1:18" ht="15" customHeight="1">
      <c r="A166" s="629"/>
      <c r="B166" s="733" t="s">
        <v>243</v>
      </c>
      <c r="C166" s="454">
        <v>20</v>
      </c>
      <c r="D166" s="979"/>
      <c r="E166" s="979"/>
      <c r="F166" s="453"/>
      <c r="G166" s="453"/>
      <c r="H166" s="979"/>
      <c r="I166" s="979"/>
      <c r="J166" s="979"/>
      <c r="K166" s="102">
        <f>M53*N149/1000</f>
        <v>78.94</v>
      </c>
      <c r="L166" s="281">
        <f>K166+(100-M53)</f>
        <v>78.94</v>
      </c>
      <c r="M166" s="278">
        <f>(M169)/(M53)</f>
        <v>1</v>
      </c>
      <c r="N166" s="629"/>
      <c r="O166" s="629"/>
      <c r="P166" s="629"/>
      <c r="Q166" s="629"/>
      <c r="R166" s="797"/>
    </row>
    <row r="167" spans="1:18" ht="15" customHeight="1">
      <c r="A167" s="629"/>
      <c r="B167" s="734" t="s">
        <v>244</v>
      </c>
      <c r="C167" s="455" t="s">
        <v>921</v>
      </c>
      <c r="D167" s="979"/>
      <c r="E167" s="979"/>
      <c r="F167" s="453"/>
      <c r="G167" s="453"/>
      <c r="H167" s="979"/>
      <c r="I167" s="979"/>
      <c r="J167" s="979"/>
      <c r="K167" s="102">
        <f>C50*N149/1000</f>
        <v>31.576000000000001</v>
      </c>
      <c r="L167" s="281">
        <f>K167+(100-C50)</f>
        <v>91.575999999999993</v>
      </c>
      <c r="M167" s="278">
        <f>(E50)/(C50)</f>
        <v>0.862016248798812</v>
      </c>
      <c r="N167" s="629"/>
      <c r="O167" s="629"/>
      <c r="P167" s="629"/>
      <c r="Q167" s="629"/>
      <c r="R167" s="797"/>
    </row>
    <row r="168" spans="1:18" ht="6" customHeight="1">
      <c r="A168" s="629"/>
      <c r="B168" s="735"/>
      <c r="C168" s="468"/>
      <c r="D168" s="979"/>
      <c r="E168" s="979"/>
      <c r="F168" s="453"/>
      <c r="G168" s="453"/>
      <c r="H168" s="979"/>
      <c r="I168" s="979"/>
      <c r="J168" s="979"/>
      <c r="K168" s="102">
        <f>H50*N149/1000</f>
        <v>31.576000000000001</v>
      </c>
      <c r="L168" s="281">
        <f>K168+(100-H50)</f>
        <v>91.575999999999993</v>
      </c>
      <c r="M168" s="278">
        <f>(J50)/(H50)</f>
        <v>0.862016248798812</v>
      </c>
      <c r="N168" s="629"/>
      <c r="O168" s="629"/>
      <c r="P168" s="629"/>
      <c r="Q168" s="629"/>
      <c r="R168" s="797"/>
    </row>
    <row r="169" spans="1:18" ht="15" customHeight="1">
      <c r="A169" s="629"/>
      <c r="B169" s="736" t="s">
        <v>245</v>
      </c>
      <c r="C169" s="456" t="s">
        <v>922</v>
      </c>
      <c r="D169" s="979"/>
      <c r="E169" s="979"/>
      <c r="F169" s="453"/>
      <c r="G169" s="453"/>
      <c r="H169" s="979"/>
      <c r="I169" s="979"/>
      <c r="J169" s="979"/>
      <c r="K169" s="103"/>
      <c r="L169" s="282"/>
      <c r="M169" s="279">
        <f>100*K166/L166</f>
        <v>100</v>
      </c>
      <c r="N169" s="629"/>
      <c r="O169" s="629"/>
      <c r="P169" s="629"/>
      <c r="Q169" s="629"/>
      <c r="R169" s="797"/>
    </row>
    <row r="170" spans="1:18" ht="15" customHeight="1">
      <c r="A170" s="629"/>
      <c r="B170" s="736" t="s">
        <v>246</v>
      </c>
      <c r="C170" s="456" t="s">
        <v>923</v>
      </c>
      <c r="D170" s="979"/>
      <c r="E170" s="979"/>
      <c r="F170" s="453"/>
      <c r="G170" s="106"/>
      <c r="H170" s="979"/>
      <c r="I170" s="979"/>
      <c r="J170" s="979"/>
      <c r="K170" s="102">
        <f>C53*N$149/1000</f>
        <v>2.6839599999999999</v>
      </c>
      <c r="L170" s="281">
        <f>K170+(100-C53)</f>
        <v>99.283959999999993</v>
      </c>
      <c r="M170" s="278">
        <f>(D53)/(C53)</f>
        <v>0.79509318524361861</v>
      </c>
      <c r="N170" s="629"/>
      <c r="O170" s="629"/>
      <c r="P170" s="629"/>
      <c r="Q170" s="629"/>
      <c r="R170" s="797"/>
    </row>
    <row r="171" spans="1:18" ht="15" customHeight="1">
      <c r="A171" s="629"/>
      <c r="B171" s="736" t="s">
        <v>247</v>
      </c>
      <c r="C171" s="456" t="s">
        <v>924</v>
      </c>
      <c r="D171" s="979"/>
      <c r="E171" s="979"/>
      <c r="F171" s="453"/>
      <c r="G171" s="106"/>
      <c r="H171" s="979"/>
      <c r="I171" s="979"/>
      <c r="J171" s="979"/>
      <c r="K171" s="979"/>
      <c r="L171" s="629"/>
      <c r="M171" s="629"/>
      <c r="N171" s="629"/>
      <c r="O171" s="629"/>
      <c r="P171" s="629"/>
      <c r="Q171" s="629"/>
      <c r="R171" s="797"/>
    </row>
    <row r="172" spans="1:18" ht="6" customHeight="1">
      <c r="A172" s="990"/>
      <c r="B172" s="737"/>
      <c r="C172" s="456"/>
      <c r="D172" s="979"/>
      <c r="E172" s="979"/>
      <c r="F172" s="453"/>
      <c r="G172" s="106"/>
      <c r="H172" s="979"/>
      <c r="I172" s="979"/>
      <c r="J172" s="979"/>
      <c r="K172" s="122">
        <f>D108*12+E108</f>
        <v>69</v>
      </c>
      <c r="L172" s="122" t="s">
        <v>249</v>
      </c>
      <c r="M172" s="992">
        <f>2.54*K172</f>
        <v>175.26</v>
      </c>
      <c r="N172" s="990"/>
      <c r="O172" s="990"/>
      <c r="P172" s="990"/>
      <c r="Q172" s="990"/>
      <c r="R172" s="797"/>
    </row>
    <row r="173" spans="1:18" ht="15" customHeight="1">
      <c r="A173" s="990"/>
      <c r="B173" s="736" t="s">
        <v>248</v>
      </c>
      <c r="C173" s="456" t="s">
        <v>925</v>
      </c>
      <c r="D173" s="979"/>
      <c r="E173" s="979"/>
      <c r="F173" s="453"/>
      <c r="G173" s="106"/>
      <c r="H173" s="979"/>
      <c r="I173" s="979"/>
      <c r="J173" s="979"/>
      <c r="K173" s="122">
        <f>D110*14+E110</f>
        <v>161</v>
      </c>
      <c r="L173" s="122" t="s">
        <v>251</v>
      </c>
      <c r="M173" s="280">
        <f>0.454*K173*10000</f>
        <v>730940.00000000012</v>
      </c>
      <c r="N173" s="990"/>
      <c r="O173" s="990"/>
      <c r="P173" s="990"/>
      <c r="Q173" s="990"/>
      <c r="R173" s="797"/>
    </row>
    <row r="174" spans="1:18" ht="15" customHeight="1">
      <c r="A174" s="990"/>
      <c r="B174" s="736" t="s">
        <v>250</v>
      </c>
      <c r="C174" s="456" t="s">
        <v>926</v>
      </c>
      <c r="D174" s="979"/>
      <c r="E174" s="979"/>
      <c r="F174" s="453"/>
      <c r="G174" s="106"/>
      <c r="H174" s="979"/>
      <c r="I174" s="979"/>
      <c r="J174" s="979"/>
      <c r="K174" s="979"/>
      <c r="L174" s="629"/>
      <c r="M174" s="629"/>
      <c r="N174" s="990"/>
      <c r="O174" s="990"/>
      <c r="P174" s="990"/>
      <c r="Q174" s="990"/>
      <c r="R174" s="797"/>
    </row>
    <row r="175" spans="1:18" ht="6" customHeight="1">
      <c r="A175" s="629"/>
      <c r="B175" s="738"/>
      <c r="C175" s="457"/>
      <c r="D175" s="979"/>
      <c r="E175" s="979"/>
      <c r="F175" s="453"/>
      <c r="G175" s="106"/>
      <c r="H175" s="979"/>
      <c r="I175" s="979"/>
      <c r="J175" s="979"/>
      <c r="K175" s="979"/>
      <c r="L175" s="629"/>
      <c r="M175" s="629"/>
      <c r="N175" s="629"/>
      <c r="O175" s="629"/>
      <c r="P175" s="629"/>
      <c r="Q175" s="629"/>
      <c r="R175" s="797"/>
    </row>
    <row r="176" spans="1:18" ht="15" customHeight="1">
      <c r="A176" s="629"/>
      <c r="B176" s="736" t="s">
        <v>252</v>
      </c>
      <c r="C176" s="458" t="s">
        <v>927</v>
      </c>
      <c r="D176" s="979"/>
      <c r="E176" s="979"/>
      <c r="F176" s="453"/>
      <c r="G176" s="106"/>
      <c r="H176" s="979"/>
      <c r="I176" s="979"/>
      <c r="J176" s="979"/>
      <c r="K176" s="979"/>
      <c r="L176" s="629"/>
      <c r="M176" s="629"/>
      <c r="N176" s="629"/>
      <c r="O176" s="629"/>
      <c r="P176" s="629"/>
      <c r="Q176" s="629"/>
      <c r="R176" s="797"/>
    </row>
    <row r="177" spans="1:18" ht="15" customHeight="1">
      <c r="A177" s="629"/>
      <c r="B177" s="736" t="s">
        <v>253</v>
      </c>
      <c r="C177" s="458" t="s">
        <v>928</v>
      </c>
      <c r="D177" s="979"/>
      <c r="E177" s="979"/>
      <c r="F177" s="453"/>
      <c r="G177" s="106"/>
      <c r="H177" s="979"/>
      <c r="I177" s="979"/>
      <c r="J177" s="979"/>
      <c r="K177" s="979"/>
      <c r="L177" s="896">
        <f>G106</f>
        <v>11026.647195946018</v>
      </c>
      <c r="M177" s="629"/>
      <c r="N177" s="629"/>
      <c r="O177" s="629"/>
      <c r="P177" s="629"/>
      <c r="Q177" s="629"/>
      <c r="R177" s="797"/>
    </row>
    <row r="178" spans="1:18" ht="15" customHeight="1">
      <c r="A178" s="629"/>
      <c r="B178" s="736" t="s">
        <v>254</v>
      </c>
      <c r="C178" s="458" t="s">
        <v>926</v>
      </c>
      <c r="D178" s="979"/>
      <c r="E178" s="979"/>
      <c r="F178" s="453"/>
      <c r="G178" s="106"/>
      <c r="H178" s="979"/>
      <c r="I178" s="979"/>
      <c r="J178" s="979"/>
      <c r="K178" s="979"/>
      <c r="L178" s="629"/>
      <c r="M178" s="629"/>
      <c r="N178" s="629"/>
      <c r="O178" s="629"/>
      <c r="P178" s="629"/>
      <c r="Q178" s="629"/>
      <c r="R178" s="797"/>
    </row>
    <row r="179" spans="1:18" ht="15" customHeight="1">
      <c r="A179" s="990"/>
      <c r="B179" s="736" t="s">
        <v>255</v>
      </c>
      <c r="C179" s="456" t="s">
        <v>929</v>
      </c>
      <c r="D179" s="979"/>
      <c r="E179" s="979"/>
      <c r="F179" s="453"/>
      <c r="G179" s="106"/>
      <c r="H179" s="979"/>
      <c r="I179" s="979"/>
      <c r="J179" s="979"/>
      <c r="K179" s="979"/>
      <c r="L179" s="629"/>
      <c r="M179" s="629"/>
      <c r="N179" s="990"/>
      <c r="O179" s="990"/>
      <c r="P179" s="990"/>
      <c r="Q179" s="990"/>
      <c r="R179" s="797"/>
    </row>
    <row r="180" spans="1:18" ht="15" customHeight="1">
      <c r="A180" s="629"/>
      <c r="B180" s="736" t="s">
        <v>256</v>
      </c>
      <c r="C180" s="458" t="s">
        <v>930</v>
      </c>
      <c r="D180" s="979"/>
      <c r="E180" s="979"/>
      <c r="F180" s="453"/>
      <c r="G180" s="106"/>
      <c r="H180" s="979"/>
      <c r="I180" s="979"/>
      <c r="J180" s="979"/>
      <c r="K180" s="979"/>
      <c r="L180" s="629"/>
      <c r="M180" s="629"/>
      <c r="N180" s="629"/>
      <c r="O180" s="629"/>
      <c r="P180" s="629"/>
      <c r="Q180" s="629"/>
      <c r="R180" s="797"/>
    </row>
    <row r="181" spans="1:18" ht="15" customHeight="1">
      <c r="A181" s="629"/>
      <c r="B181" s="736" t="s">
        <v>257</v>
      </c>
      <c r="C181" s="458" t="s">
        <v>931</v>
      </c>
      <c r="D181" s="979"/>
      <c r="E181" s="979"/>
      <c r="F181" s="453"/>
      <c r="G181" s="106"/>
      <c r="H181" s="979"/>
      <c r="I181" s="979"/>
      <c r="J181" s="979"/>
      <c r="K181" s="979"/>
      <c r="L181" s="629"/>
      <c r="M181" s="629"/>
      <c r="N181" s="629"/>
      <c r="O181" s="629"/>
      <c r="P181" s="629"/>
      <c r="Q181" s="629"/>
      <c r="R181" s="797"/>
    </row>
    <row r="182" spans="1:18" ht="6" customHeight="1">
      <c r="A182" s="629"/>
      <c r="B182" s="735"/>
      <c r="C182" s="458"/>
      <c r="D182" s="979"/>
      <c r="E182" s="979"/>
      <c r="F182" s="453"/>
      <c r="G182" s="106"/>
      <c r="H182" s="979"/>
      <c r="I182" s="979"/>
      <c r="J182" s="979"/>
      <c r="K182" s="979"/>
      <c r="L182" s="629"/>
      <c r="M182" s="629"/>
      <c r="N182" s="629"/>
      <c r="O182" s="629"/>
      <c r="P182" s="629"/>
      <c r="Q182" s="629"/>
      <c r="R182" s="797"/>
    </row>
    <row r="183" spans="1:18" ht="15" customHeight="1">
      <c r="A183" s="629"/>
      <c r="B183" s="736" t="s">
        <v>258</v>
      </c>
      <c r="C183" s="458" t="s">
        <v>927</v>
      </c>
      <c r="D183" s="979"/>
      <c r="E183" s="979"/>
      <c r="F183" s="453"/>
      <c r="G183" s="106"/>
      <c r="H183" s="979"/>
      <c r="I183" s="979"/>
      <c r="J183" s="979"/>
      <c r="K183" s="979"/>
      <c r="L183" s="629"/>
      <c r="M183" s="629"/>
      <c r="N183" s="629"/>
      <c r="O183" s="629"/>
      <c r="P183" s="629"/>
      <c r="Q183" s="629"/>
      <c r="R183" s="797"/>
    </row>
    <row r="184" spans="1:18" ht="15" customHeight="1">
      <c r="A184" s="629"/>
      <c r="B184" s="736" t="s">
        <v>259</v>
      </c>
      <c r="C184" s="458" t="s">
        <v>260</v>
      </c>
      <c r="D184" s="979"/>
      <c r="E184" s="979"/>
      <c r="F184" s="453"/>
      <c r="G184" s="106"/>
      <c r="H184" s="979"/>
      <c r="I184" s="979"/>
      <c r="J184" s="979"/>
      <c r="K184" s="979"/>
      <c r="L184" s="629"/>
      <c r="M184" s="629"/>
      <c r="N184" s="629"/>
      <c r="O184" s="629"/>
      <c r="P184" s="629"/>
      <c r="Q184" s="629"/>
      <c r="R184" s="797"/>
    </row>
    <row r="185" spans="1:18" ht="6" customHeight="1">
      <c r="A185" s="629"/>
      <c r="B185" s="739"/>
      <c r="C185" s="469"/>
      <c r="D185" s="979"/>
      <c r="E185" s="979"/>
      <c r="F185" s="453"/>
      <c r="G185" s="106"/>
      <c r="H185" s="979"/>
      <c r="I185" s="979"/>
      <c r="J185" s="979"/>
      <c r="K185" s="979"/>
      <c r="L185" s="629"/>
      <c r="M185" s="629"/>
      <c r="N185" s="459"/>
      <c r="O185" s="459"/>
      <c r="P185" s="629"/>
      <c r="Q185" s="629"/>
      <c r="R185" s="797"/>
    </row>
    <row r="186" spans="1:18" ht="14.45" customHeight="1">
      <c r="A186" s="629"/>
      <c r="B186" s="1087" t="s">
        <v>920</v>
      </c>
      <c r="C186" s="1087"/>
      <c r="D186" s="979"/>
      <c r="E186" s="979"/>
      <c r="F186" s="453"/>
      <c r="G186" s="629"/>
      <c r="H186" s="979"/>
      <c r="I186" s="979"/>
      <c r="J186" s="979"/>
      <c r="K186" s="979"/>
      <c r="L186" s="979"/>
      <c r="M186" s="979"/>
      <c r="N186" s="979"/>
      <c r="O186" s="979"/>
      <c r="P186" s="979"/>
      <c r="Q186" s="979"/>
      <c r="R186" s="797"/>
    </row>
    <row r="187" spans="1:18" ht="14.45" customHeight="1">
      <c r="A187" s="629"/>
      <c r="B187" s="1088"/>
      <c r="C187" s="1088"/>
      <c r="D187" s="979"/>
      <c r="E187" s="979"/>
      <c r="F187" s="453"/>
      <c r="G187" s="629"/>
      <c r="H187" s="459"/>
      <c r="I187" s="459"/>
      <c r="J187" s="459"/>
      <c r="K187" s="459"/>
      <c r="L187" s="1078"/>
      <c r="M187" s="1078"/>
      <c r="N187" s="1089"/>
      <c r="O187" s="664"/>
      <c r="P187" s="664"/>
      <c r="Q187" s="972"/>
      <c r="R187" s="797"/>
    </row>
    <row r="188" spans="1:18" ht="14.45" customHeight="1">
      <c r="A188" s="629"/>
      <c r="B188" s="1088"/>
      <c r="C188" s="1088"/>
      <c r="D188" s="979"/>
      <c r="E188" s="979"/>
      <c r="F188" s="453"/>
      <c r="G188" s="629"/>
      <c r="H188" s="459"/>
      <c r="I188" s="459"/>
      <c r="J188" s="459"/>
      <c r="K188" s="459"/>
      <c r="L188" s="1078"/>
      <c r="M188" s="1078"/>
      <c r="N188" s="1078"/>
      <c r="O188" s="664"/>
      <c r="P188" s="664"/>
      <c r="Q188" s="972"/>
      <c r="R188" s="797"/>
    </row>
    <row r="189" spans="1:18" s="695" customFormat="1" ht="14.45" customHeight="1">
      <c r="A189" s="631"/>
      <c r="B189" s="1088"/>
      <c r="C189" s="1088"/>
      <c r="D189" s="632"/>
      <c r="E189" s="632"/>
      <c r="F189" s="660"/>
      <c r="G189" s="631"/>
      <c r="H189" s="661"/>
      <c r="I189" s="661"/>
      <c r="J189" s="661"/>
      <c r="K189" s="661"/>
      <c r="L189" s="662"/>
      <c r="M189" s="662"/>
      <c r="N189" s="662"/>
      <c r="O189" s="1090" t="s">
        <v>261</v>
      </c>
      <c r="P189" s="1090"/>
      <c r="Q189" s="663"/>
      <c r="R189" s="797"/>
    </row>
    <row r="190" spans="1:18" s="695" customFormat="1" ht="14.45" customHeight="1">
      <c r="A190" s="631"/>
      <c r="B190" s="659"/>
      <c r="C190" s="659"/>
      <c r="D190" s="632"/>
      <c r="E190" s="632"/>
      <c r="F190" s="660"/>
      <c r="G190" s="631"/>
      <c r="H190" s="661"/>
      <c r="I190" s="661"/>
      <c r="J190" s="661"/>
      <c r="K190" s="661"/>
      <c r="L190" s="1078" t="s">
        <v>889</v>
      </c>
      <c r="M190" s="1078"/>
      <c r="N190" s="1078"/>
      <c r="O190" s="1121" t="s">
        <v>36</v>
      </c>
      <c r="P190" s="1080"/>
      <c r="Q190" s="663"/>
      <c r="R190" s="797"/>
    </row>
    <row r="191" spans="1:18" ht="14.45" customHeight="1">
      <c r="A191" s="763"/>
      <c r="B191" s="1077" t="s">
        <v>942</v>
      </c>
      <c r="C191" s="1077"/>
      <c r="D191" s="1077"/>
      <c r="E191" s="1077"/>
      <c r="F191" s="1077"/>
      <c r="G191" s="1077"/>
      <c r="H191" s="1077"/>
      <c r="I191" s="459"/>
      <c r="J191" s="459"/>
      <c r="K191" s="459"/>
      <c r="L191" s="1078" t="s">
        <v>42</v>
      </c>
      <c r="M191" s="1078"/>
      <c r="N191" s="1078"/>
      <c r="O191" s="1079" t="s">
        <v>43</v>
      </c>
      <c r="P191" s="1080"/>
      <c r="Q191" s="972"/>
      <c r="R191" s="797"/>
    </row>
    <row r="192" spans="1:18">
      <c r="A192" s="797"/>
      <c r="B192" s="797"/>
      <c r="C192" s="797"/>
      <c r="D192" s="797"/>
      <c r="E192" s="797"/>
      <c r="F192" s="797"/>
      <c r="G192" s="797"/>
      <c r="H192" s="797"/>
      <c r="I192" s="797"/>
      <c r="J192" s="797"/>
      <c r="K192" s="797"/>
      <c r="L192" s="797"/>
      <c r="M192" s="797"/>
      <c r="N192" s="797"/>
      <c r="O192" s="797"/>
      <c r="P192" s="797"/>
      <c r="Q192" s="797"/>
      <c r="R192" s="797"/>
    </row>
  </sheetData>
  <sheetProtection password="FA80" sheet="1" objects="1" scenarios="1"/>
  <mergeCells count="215">
    <mergeCell ref="A1:B1"/>
    <mergeCell ref="F1:J1"/>
    <mergeCell ref="O1:Q1"/>
    <mergeCell ref="O2:Q2"/>
    <mergeCell ref="A3:B3"/>
    <mergeCell ref="I11:K11"/>
    <mergeCell ref="M36:P37"/>
    <mergeCell ref="C37:D37"/>
    <mergeCell ref="E37:F37"/>
    <mergeCell ref="G37:H37"/>
    <mergeCell ref="I37:J37"/>
    <mergeCell ref="K37:L37"/>
    <mergeCell ref="O14:P14"/>
    <mergeCell ref="A21:B21"/>
    <mergeCell ref="H31:J31"/>
    <mergeCell ref="H32:J32"/>
    <mergeCell ref="A35:C35"/>
    <mergeCell ref="C36:D36"/>
    <mergeCell ref="E36:F36"/>
    <mergeCell ref="G36:H36"/>
    <mergeCell ref="I36:J36"/>
    <mergeCell ref="K36:L36"/>
    <mergeCell ref="A48:B48"/>
    <mergeCell ref="M48:O48"/>
    <mergeCell ref="J52:L52"/>
    <mergeCell ref="J53:L53"/>
    <mergeCell ref="B55:Q55"/>
    <mergeCell ref="A58:M58"/>
    <mergeCell ref="C38:H38"/>
    <mergeCell ref="A40:B40"/>
    <mergeCell ref="C41:D41"/>
    <mergeCell ref="F41:G41"/>
    <mergeCell ref="I41:K41"/>
    <mergeCell ref="M41:N41"/>
    <mergeCell ref="C59:E59"/>
    <mergeCell ref="K59:L59"/>
    <mergeCell ref="C60:D60"/>
    <mergeCell ref="K60:L60"/>
    <mergeCell ref="N60:P62"/>
    <mergeCell ref="C61:D61"/>
    <mergeCell ref="K61:L61"/>
    <mergeCell ref="C62:D62"/>
    <mergeCell ref="K62:L62"/>
    <mergeCell ref="C63:E65"/>
    <mergeCell ref="K63:L63"/>
    <mergeCell ref="K64:L64"/>
    <mergeCell ref="K65:L65"/>
    <mergeCell ref="B66:E66"/>
    <mergeCell ref="F66:H70"/>
    <mergeCell ref="K66:L66"/>
    <mergeCell ref="C67:D67"/>
    <mergeCell ref="K67:L67"/>
    <mergeCell ref="C68:D68"/>
    <mergeCell ref="N73:Q73"/>
    <mergeCell ref="C74:D74"/>
    <mergeCell ref="J74:K74"/>
    <mergeCell ref="C75:D75"/>
    <mergeCell ref="J75:K75"/>
    <mergeCell ref="C76:D76"/>
    <mergeCell ref="J76:K76"/>
    <mergeCell ref="K68:L68"/>
    <mergeCell ref="C69:D69"/>
    <mergeCell ref="K69:L69"/>
    <mergeCell ref="A72:D72"/>
    <mergeCell ref="J72:M72"/>
    <mergeCell ref="C73:D73"/>
    <mergeCell ref="J73:K73"/>
    <mergeCell ref="C77:D77"/>
    <mergeCell ref="J77:K77"/>
    <mergeCell ref="A80:B80"/>
    <mergeCell ref="J80:M80"/>
    <mergeCell ref="A81:B81"/>
    <mergeCell ref="D81:E81"/>
    <mergeCell ref="G81:I82"/>
    <mergeCell ref="K81:L81"/>
    <mergeCell ref="D82:E82"/>
    <mergeCell ref="K82:L82"/>
    <mergeCell ref="B89:H89"/>
    <mergeCell ref="J89:L89"/>
    <mergeCell ref="A92:I92"/>
    <mergeCell ref="D93:E93"/>
    <mergeCell ref="F93:G93"/>
    <mergeCell ref="H93:I93"/>
    <mergeCell ref="J93:L93"/>
    <mergeCell ref="D83:E83"/>
    <mergeCell ref="K83:L83"/>
    <mergeCell ref="D84:E84"/>
    <mergeCell ref="K84:L84"/>
    <mergeCell ref="B85:H88"/>
    <mergeCell ref="J86:M86"/>
    <mergeCell ref="J87:L87"/>
    <mergeCell ref="J88:L88"/>
    <mergeCell ref="H94:I94"/>
    <mergeCell ref="K94:M94"/>
    <mergeCell ref="H95:I95"/>
    <mergeCell ref="D96:E96"/>
    <mergeCell ref="H96:I96"/>
    <mergeCell ref="D97:E97"/>
    <mergeCell ref="F97:G97"/>
    <mergeCell ref="H97:I97"/>
    <mergeCell ref="K97:M97"/>
    <mergeCell ref="M105:P105"/>
    <mergeCell ref="D106:E106"/>
    <mergeCell ref="G106:H107"/>
    <mergeCell ref="J106:K106"/>
    <mergeCell ref="K98:M98"/>
    <mergeCell ref="F99:J99"/>
    <mergeCell ref="C100:D100"/>
    <mergeCell ref="F100:J100"/>
    <mergeCell ref="C101:D101"/>
    <mergeCell ref="F101:J101"/>
    <mergeCell ref="G108:H108"/>
    <mergeCell ref="G109:H109"/>
    <mergeCell ref="G110:H110"/>
    <mergeCell ref="D111:E111"/>
    <mergeCell ref="G111:H111"/>
    <mergeCell ref="C112:E112"/>
    <mergeCell ref="G112:G113"/>
    <mergeCell ref="H112:J113"/>
    <mergeCell ref="C102:D102"/>
    <mergeCell ref="F102:J102"/>
    <mergeCell ref="A105:K105"/>
    <mergeCell ref="B116:E116"/>
    <mergeCell ref="H116:J116"/>
    <mergeCell ref="H117:J117"/>
    <mergeCell ref="H118:J118"/>
    <mergeCell ref="B119:E120"/>
    <mergeCell ref="H119:J119"/>
    <mergeCell ref="H120:J120"/>
    <mergeCell ref="K112:K113"/>
    <mergeCell ref="C113:E113"/>
    <mergeCell ref="C114:E114"/>
    <mergeCell ref="H114:J114"/>
    <mergeCell ref="C115:E115"/>
    <mergeCell ref="H115:J115"/>
    <mergeCell ref="L127:M127"/>
    <mergeCell ref="B127:C127"/>
    <mergeCell ref="D133:F135"/>
    <mergeCell ref="G121:K122"/>
    <mergeCell ref="A125:D125"/>
    <mergeCell ref="L125:M125"/>
    <mergeCell ref="N125:O125"/>
    <mergeCell ref="L126:M126"/>
    <mergeCell ref="N126:O126"/>
    <mergeCell ref="L133:M133"/>
    <mergeCell ref="L134:M134"/>
    <mergeCell ref="L135:M135"/>
    <mergeCell ref="L136:M136"/>
    <mergeCell ref="L137:M137"/>
    <mergeCell ref="L130:M130"/>
    <mergeCell ref="L131:M131"/>
    <mergeCell ref="L132:M132"/>
    <mergeCell ref="L128:M128"/>
    <mergeCell ref="L129:M129"/>
    <mergeCell ref="D138:F138"/>
    <mergeCell ref="L142:M142"/>
    <mergeCell ref="C139:F139"/>
    <mergeCell ref="L143:M143"/>
    <mergeCell ref="L144:M144"/>
    <mergeCell ref="L145:M145"/>
    <mergeCell ref="L138:M138"/>
    <mergeCell ref="L139:M139"/>
    <mergeCell ref="L140:M140"/>
    <mergeCell ref="L141:M141"/>
    <mergeCell ref="N148:O148"/>
    <mergeCell ref="D145:E145"/>
    <mergeCell ref="G145:H145"/>
    <mergeCell ref="N156:P156"/>
    <mergeCell ref="H157:J157"/>
    <mergeCell ref="D137:F137"/>
    <mergeCell ref="A136:E136"/>
    <mergeCell ref="L190:N190"/>
    <mergeCell ref="O190:P190"/>
    <mergeCell ref="A152:C152"/>
    <mergeCell ref="B153:D153"/>
    <mergeCell ref="H153:J154"/>
    <mergeCell ref="D144:E144"/>
    <mergeCell ref="G144:H144"/>
    <mergeCell ref="L148:M149"/>
    <mergeCell ref="B154:D154"/>
    <mergeCell ref="H155:J155"/>
    <mergeCell ref="K155:L155"/>
    <mergeCell ref="A142:B142"/>
    <mergeCell ref="C142:I142"/>
    <mergeCell ref="L146:M146"/>
    <mergeCell ref="D143:E143"/>
    <mergeCell ref="G143:H143"/>
    <mergeCell ref="L147:M147"/>
    <mergeCell ref="D146:I146"/>
    <mergeCell ref="B147:I148"/>
    <mergeCell ref="B149:C149"/>
    <mergeCell ref="B191:H191"/>
    <mergeCell ref="L191:N191"/>
    <mergeCell ref="O191:P191"/>
    <mergeCell ref="D127:E127"/>
    <mergeCell ref="D128:E128"/>
    <mergeCell ref="D129:E129"/>
    <mergeCell ref="D130:E130"/>
    <mergeCell ref="B161:H161"/>
    <mergeCell ref="A164:C164"/>
    <mergeCell ref="B186:C189"/>
    <mergeCell ref="L187:N187"/>
    <mergeCell ref="L188:N188"/>
    <mergeCell ref="O189:P189"/>
    <mergeCell ref="K157:L157"/>
    <mergeCell ref="N157:P157"/>
    <mergeCell ref="H158:J158"/>
    <mergeCell ref="K158:L158"/>
    <mergeCell ref="N158:P158"/>
    <mergeCell ref="B159:P160"/>
    <mergeCell ref="K153:P154"/>
    <mergeCell ref="N155:P155"/>
    <mergeCell ref="D156:D157"/>
    <mergeCell ref="H156:J156"/>
    <mergeCell ref="K156:L156"/>
  </mergeCells>
  <conditionalFormatting sqref="C138">
    <cfRule type="cellIs" dxfId="60" priority="43" stopIfTrue="1" operator="greaterThanOrEqual">
      <formula>81</formula>
    </cfRule>
  </conditionalFormatting>
  <conditionalFormatting sqref="F82:F83 M82:M83 C84 J84">
    <cfRule type="cellIs" dxfId="59" priority="42" stopIfTrue="1" operator="lessThan">
      <formula>0</formula>
    </cfRule>
  </conditionalFormatting>
  <conditionalFormatting sqref="C111:E111">
    <cfRule type="cellIs" dxfId="58" priority="39" stopIfTrue="1" operator="between">
      <formula>20</formula>
      <formula>25</formula>
    </cfRule>
    <cfRule type="cellIs" dxfId="57" priority="40" stopIfTrue="1" operator="between">
      <formula>25</formula>
      <formula>30</formula>
    </cfRule>
    <cfRule type="cellIs" dxfId="56" priority="41" stopIfTrue="1" operator="greaterThanOrEqual">
      <formula>30</formula>
    </cfRule>
  </conditionalFormatting>
  <conditionalFormatting sqref="I110">
    <cfRule type="cellIs" dxfId="55" priority="36" stopIfTrue="1" operator="between">
      <formula>42</formula>
      <formula>49</formula>
    </cfRule>
    <cfRule type="cellIs" dxfId="54" priority="37" stopIfTrue="1" operator="between">
      <formula>49</formula>
      <formula>54</formula>
    </cfRule>
    <cfRule type="cellIs" dxfId="53" priority="38" stopIfTrue="1" operator="greaterThanOrEqual">
      <formula>54</formula>
    </cfRule>
  </conditionalFormatting>
  <conditionalFormatting sqref="I111 K111">
    <cfRule type="cellIs" dxfId="52" priority="33" stopIfTrue="1" operator="between">
      <formula>43</formula>
      <formula>53</formula>
    </cfRule>
    <cfRule type="cellIs" dxfId="51" priority="34" stopIfTrue="1" operator="between">
      <formula>53</formula>
      <formula>58</formula>
    </cfRule>
    <cfRule type="cellIs" dxfId="50" priority="35" stopIfTrue="1" operator="greaterThanOrEqual">
      <formula>58</formula>
    </cfRule>
  </conditionalFormatting>
  <conditionalFormatting sqref="K110">
    <cfRule type="cellIs" dxfId="49" priority="30" stopIfTrue="1" operator="between">
      <formula>43</formula>
      <formula>49</formula>
    </cfRule>
    <cfRule type="cellIs" dxfId="48" priority="31" stopIfTrue="1" operator="between">
      <formula>49</formula>
      <formula>54</formula>
    </cfRule>
    <cfRule type="cellIs" dxfId="47" priority="32" stopIfTrue="1" operator="greaterThanOrEqual">
      <formula>54</formula>
    </cfRule>
  </conditionalFormatting>
  <conditionalFormatting sqref="C95">
    <cfRule type="cellIs" dxfId="46" priority="29" stopIfTrue="1" operator="greaterThan">
      <formula>4</formula>
    </cfRule>
  </conditionalFormatting>
  <conditionalFormatting sqref="I50 O50 P53 F53:F54 N54">
    <cfRule type="cellIs" dxfId="45" priority="28" stopIfTrue="1" operator="greaterThan">
      <formula>200</formula>
    </cfRule>
  </conditionalFormatting>
  <conditionalFormatting sqref="D50 M50:N50 O53 E53:E54 M54">
    <cfRule type="cellIs" dxfId="44" priority="27" stopIfTrue="1" operator="greaterThan">
      <formula>175</formula>
    </cfRule>
  </conditionalFormatting>
  <conditionalFormatting sqref="E75">
    <cfRule type="cellIs" dxfId="43" priority="26" stopIfTrue="1" operator="notEqual">
      <formula>E74</formula>
    </cfRule>
  </conditionalFormatting>
  <conditionalFormatting sqref="M75">
    <cfRule type="cellIs" dxfId="42" priority="23" stopIfTrue="1" operator="notEqual">
      <formula>"f63"</formula>
    </cfRule>
    <cfRule type="cellIs" priority="24" stopIfTrue="1" operator="notEqual">
      <formula>M75</formula>
    </cfRule>
    <cfRule type="cellIs" dxfId="41" priority="25" stopIfTrue="1" operator="notEqual">
      <formula>L74</formula>
    </cfRule>
  </conditionalFormatting>
  <conditionalFormatting sqref="L75">
    <cfRule type="cellIs" dxfId="40" priority="22" stopIfTrue="1" operator="notEqual">
      <formula>L74</formula>
    </cfRule>
  </conditionalFormatting>
  <conditionalFormatting sqref="E68">
    <cfRule type="cellIs" dxfId="39" priority="21" stopIfTrue="1" operator="lessThan">
      <formula>0</formula>
    </cfRule>
  </conditionalFormatting>
  <conditionalFormatting sqref="F75">
    <cfRule type="cellIs" dxfId="38" priority="19" stopIfTrue="1" operator="notEqual">
      <formula>F74</formula>
    </cfRule>
    <cfRule type="cellIs" dxfId="37" priority="20" stopIfTrue="1" operator="notEqual">
      <formula>F74</formula>
    </cfRule>
  </conditionalFormatting>
  <conditionalFormatting sqref="M63">
    <cfRule type="cellIs" dxfId="36" priority="18" stopIfTrue="1" operator="notEqual">
      <formula>#REF!</formula>
    </cfRule>
  </conditionalFormatting>
  <conditionalFormatting sqref="M63">
    <cfRule type="cellIs" dxfId="35" priority="17" operator="notEqual">
      <formula>#REF!</formula>
    </cfRule>
  </conditionalFormatting>
  <conditionalFormatting sqref="J61">
    <cfRule type="cellIs" dxfId="34" priority="16" operator="notEqual">
      <formula>J60</formula>
    </cfRule>
  </conditionalFormatting>
  <conditionalFormatting sqref="J61">
    <cfRule type="cellIs" dxfId="33" priority="15" operator="notEqual">
      <formula>J60</formula>
    </cfRule>
  </conditionalFormatting>
  <conditionalFormatting sqref="J66">
    <cfRule type="cellIs" dxfId="32" priority="14" operator="notEqual">
      <formula>J65</formula>
    </cfRule>
  </conditionalFormatting>
  <conditionalFormatting sqref="J66">
    <cfRule type="cellIs" dxfId="31" priority="13" operator="notEqual">
      <formula>J65</formula>
    </cfRule>
  </conditionalFormatting>
  <conditionalFormatting sqref="M61">
    <cfRule type="cellIs" dxfId="30" priority="12" stopIfTrue="1" operator="notEqual">
      <formula>M60</formula>
    </cfRule>
  </conditionalFormatting>
  <conditionalFormatting sqref="M61">
    <cfRule type="cellIs" dxfId="29" priority="11" operator="notEqual">
      <formula>M60</formula>
    </cfRule>
  </conditionalFormatting>
  <conditionalFormatting sqref="M61">
    <cfRule type="cellIs" dxfId="28" priority="10" stopIfTrue="1" operator="notEqual">
      <formula>M60</formula>
    </cfRule>
  </conditionalFormatting>
  <conditionalFormatting sqref="M61">
    <cfRule type="cellIs" dxfId="27" priority="9" operator="notEqual">
      <formula>M60</formula>
    </cfRule>
  </conditionalFormatting>
  <conditionalFormatting sqref="M61">
    <cfRule type="cellIs" dxfId="26" priority="8" stopIfTrue="1" operator="notEqual">
      <formula>M60</formula>
    </cfRule>
  </conditionalFormatting>
  <conditionalFormatting sqref="M61">
    <cfRule type="cellIs" dxfId="25" priority="7" operator="notEqual">
      <formula>M60</formula>
    </cfRule>
  </conditionalFormatting>
  <conditionalFormatting sqref="M66">
    <cfRule type="cellIs" dxfId="24" priority="6" stopIfTrue="1" operator="notEqual">
      <formula>M65</formula>
    </cfRule>
  </conditionalFormatting>
  <conditionalFormatting sqref="M66">
    <cfRule type="cellIs" dxfId="23" priority="5" operator="notEqual">
      <formula>M65</formula>
    </cfRule>
  </conditionalFormatting>
  <conditionalFormatting sqref="M66">
    <cfRule type="cellIs" dxfId="22" priority="4" stopIfTrue="1" operator="notEqual">
      <formula>M65</formula>
    </cfRule>
  </conditionalFormatting>
  <conditionalFormatting sqref="M66">
    <cfRule type="cellIs" dxfId="21" priority="3" operator="notEqual">
      <formula>M65</formula>
    </cfRule>
  </conditionalFormatting>
  <conditionalFormatting sqref="M66">
    <cfRule type="cellIs" dxfId="20" priority="2" stopIfTrue="1" operator="notEqual">
      <formula>M65</formula>
    </cfRule>
  </conditionalFormatting>
  <conditionalFormatting sqref="M66">
    <cfRule type="cellIs" dxfId="19" priority="1" operator="notEqual">
      <formula>M65</formula>
    </cfRule>
  </conditionalFormatting>
  <hyperlinks>
    <hyperlink ref="O2" r:id="rId1"/>
    <hyperlink ref="P14" r:id="rId2" display="http://www.petespintpot.co.uk/"/>
    <hyperlink ref="E16" location="'Primer'!D1" display="'Primer'!D1"/>
    <hyperlink ref="A26" location="'Beer Scaling Calc'!C4" display="'Beer Scaling Calc'!C4"/>
    <hyperlink ref="A28" location="'Beer Scaling Calc'!L58" display="'Beer Scaling Calc'!L58"/>
    <hyperlink ref="B28" location="'Beer Scaling Calc'!L58" display="'Beer Scaling Calc'!L58"/>
    <hyperlink ref="C28" location="'Beer Scaling Calc'!I8" display="'Beer Scaling Calc'!I8"/>
    <hyperlink ref="A46" location="'Beer Scaling Calc'!C4" display="'Beer Scaling Calc'!C4"/>
    <hyperlink ref="D51" location="Primer!D1" display="Primer!D1"/>
    <hyperlink ref="I72" location="'General Calc''s'!F66" display="OR"/>
    <hyperlink ref="K76" r:id="rId3" display="http://www.signaturewinesofohio.com/"/>
    <hyperlink ref="B80" location="'Beer Kit Calc's'!A90" display="'Beer Kit Calc's'!A90"/>
    <hyperlink ref="B81" location="'Beer Kit Calc's'!K23" display="'Beer Kit Calc's'!K23"/>
    <hyperlink ref="I92" r:id="rId4" display="mailto:david.barrow@live.co.uk"/>
    <hyperlink ref="M94" r:id="rId5" display="mailto:david.barrow@live.co.uk"/>
    <hyperlink ref="I96" location="'General Calc's'!N98" display="'General Calc's'!N98"/>
    <hyperlink ref="P105" location="'Wine &amp; Cider Calc'!H40" display="'Wine &amp; Cider Calc'!H40"/>
    <hyperlink ref="K106" location="'BJCP'!F1" display="'BJCP'!F1"/>
    <hyperlink ref="E111" location="'Beer Data Sheet'!AO4" display="'Beer Data Sheet'!AO4"/>
    <hyperlink ref="E116" location="'BJCP'!F1" display="'BJCP'!F1"/>
    <hyperlink ref="C125" location="'BJCP'!F1" display="'BJCP'!F1"/>
    <hyperlink ref="M126" r:id="rId6" display="http://www.yobrew.co.uk/"/>
    <hyperlink ref="O126" location="'General Calc''s'!C24" display="'General Calc''s'!C24"/>
    <hyperlink ref="M127" r:id="rId7" display="http://www.yobrew.co.uk/"/>
    <hyperlink ref="M128" r:id="rId8" display="http://www.yobrew.co.uk/"/>
    <hyperlink ref="I154" location="'Beer Kit Calc's'!Y5" display="'Beer Kit Calc's'!Y5"/>
    <hyperlink ref="J154" location="'Beer Kit Calc's'!Y5" display="'Beer Kit Calc's'!Y5"/>
    <hyperlink ref="I155" r:id="rId9" display="http://www.petespintpot.co.uk/health.html"/>
    <hyperlink ref="J155" location="'Beer Data Sheet'!AO4" display="'Beer Data Sheet'!AO4"/>
    <hyperlink ref="I156" r:id="rId10" display="http://www.petespintpot.co.uk/health.html"/>
    <hyperlink ref="N187" r:id="rId11" display="mailto:david.barrow@live.co.uk"/>
    <hyperlink ref="O191" r:id="rId12"/>
    <hyperlink ref="O190" r:id="rId13"/>
    <hyperlink ref="E59" location="'Primer'!D1" display="Priming Calc's. For Beers Etc."/>
    <hyperlink ref="I80" location="'General Calc''s'!F66" display="OR"/>
    <hyperlink ref="N48" r:id="rId14" display="www.petespintpot.co.uk/diabetic.html "/>
  </hyperlinks>
  <printOptions horizontalCentered="1"/>
  <pageMargins left="0.43307086614173229" right="0.43307086614173229" top="0.43307086614173229" bottom="0.70866141732283472" header="0.31496062992125984" footer="0.59055118110236227"/>
  <pageSetup paperSize="9" scale="52" fitToHeight="2" pageOrder="overThenDown" orientation="portrait" r:id="rId15"/>
  <rowBreaks count="1" manualBreakCount="1">
    <brk id="91" max="16" man="1"/>
  </rowBreaks>
  <drawing r:id="rId16"/>
</worksheet>
</file>

<file path=xl/worksheets/sheet3.xml><?xml version="1.0" encoding="utf-8"?>
<worksheet xmlns="http://schemas.openxmlformats.org/spreadsheetml/2006/main" xmlns:r="http://schemas.openxmlformats.org/officeDocument/2006/relationships">
  <sheetPr codeName="Sheet3">
    <tabColor theme="5" tint="0.59999389629810485"/>
    <pageSetUpPr fitToPage="1"/>
  </sheetPr>
  <dimension ref="A1:BA291"/>
  <sheetViews>
    <sheetView zoomScale="75" zoomScaleNormal="75" zoomScaleSheetLayoutView="75" workbookViewId="0">
      <pane ySplit="10" topLeftCell="A130" activePane="bottomLeft" state="frozen"/>
      <selection pane="bottomLeft" activeCell="H139" sqref="H137:I139"/>
    </sheetView>
  </sheetViews>
  <sheetFormatPr defaultRowHeight="15"/>
  <cols>
    <col min="1" max="1" width="5.28515625" style="1" customWidth="1"/>
    <col min="2" max="2" width="5.140625" style="1" customWidth="1"/>
    <col min="3" max="3" width="8.5703125" style="1" customWidth="1"/>
    <col min="4" max="4" width="34.28515625" style="1" customWidth="1"/>
    <col min="5" max="5" width="10.85546875" style="1" customWidth="1"/>
    <col min="6" max="6" width="10.42578125" style="1" customWidth="1"/>
    <col min="7" max="7" width="10.85546875" style="1" customWidth="1"/>
    <col min="8" max="8" width="5.85546875" style="61" customWidth="1"/>
    <col min="9" max="9" width="8.5703125" style="1" customWidth="1"/>
    <col min="10" max="11" width="15.42578125" style="1" customWidth="1"/>
    <col min="12" max="15" width="12.42578125" style="1" customWidth="1"/>
    <col min="16" max="16" width="12.28515625" style="1" customWidth="1"/>
    <col min="17" max="23" width="11.5703125" style="1" customWidth="1"/>
    <col min="24" max="24" width="2.7109375" style="1" customWidth="1"/>
    <col min="25" max="25" width="1.5703125" style="1" customWidth="1"/>
    <col min="26" max="26" width="27.42578125" style="1" customWidth="1"/>
    <col min="27" max="38" width="12.140625" style="1" customWidth="1"/>
    <col min="39" max="39" width="8.42578125" style="1" customWidth="1"/>
    <col min="40" max="51" width="7.85546875" style="1" hidden="1" customWidth="1"/>
    <col min="52" max="52" width="5.28515625" style="1" customWidth="1"/>
    <col min="53" max="53" width="40.28515625" style="1" customWidth="1"/>
  </cols>
  <sheetData>
    <row r="1" spans="1:53" ht="15" customHeight="1">
      <c r="A1" s="1704" t="s">
        <v>970</v>
      </c>
      <c r="B1" s="1704"/>
      <c r="C1" s="942"/>
      <c r="D1" s="942"/>
      <c r="E1" s="942"/>
      <c r="F1" s="942"/>
      <c r="G1" s="942"/>
      <c r="H1" s="131"/>
      <c r="I1" s="942"/>
      <c r="J1" s="1701" t="s">
        <v>873</v>
      </c>
      <c r="K1" s="1701"/>
      <c r="L1" s="1701"/>
      <c r="M1" s="1701"/>
      <c r="N1" s="1701"/>
      <c r="O1" s="1701"/>
      <c r="P1" s="942"/>
      <c r="Q1" s="942"/>
      <c r="R1" s="942"/>
      <c r="S1" s="942"/>
      <c r="T1" s="942"/>
      <c r="U1" s="942"/>
      <c r="V1" s="1370" t="s">
        <v>969</v>
      </c>
      <c r="W1" s="1370"/>
      <c r="X1" s="1370"/>
      <c r="Y1" s="942"/>
      <c r="Z1" s="942"/>
      <c r="AA1" s="942"/>
      <c r="AB1" s="942"/>
      <c r="AC1" s="942"/>
      <c r="AD1" s="942"/>
      <c r="AE1" s="942"/>
      <c r="AF1" s="942"/>
      <c r="AG1" s="942"/>
      <c r="AH1" s="942"/>
      <c r="AI1" s="942"/>
      <c r="AJ1" s="942"/>
      <c r="AK1" s="942"/>
      <c r="AL1" s="942"/>
      <c r="AM1" s="942"/>
      <c r="AN1" s="942"/>
      <c r="AO1" s="942"/>
      <c r="AP1" s="942"/>
      <c r="AQ1" s="942"/>
      <c r="AR1" s="942"/>
      <c r="AS1" s="942"/>
      <c r="AT1" s="942"/>
      <c r="AU1" s="942"/>
      <c r="AV1" s="942"/>
      <c r="AW1" s="942"/>
      <c r="AX1" s="942"/>
      <c r="AY1" s="942"/>
      <c r="AZ1" s="942"/>
      <c r="BA1" s="942"/>
    </row>
    <row r="2" spans="1:53" ht="15" customHeight="1">
      <c r="A2" s="942"/>
      <c r="B2" s="942"/>
      <c r="C2" s="411"/>
      <c r="D2" s="412"/>
      <c r="E2" s="412"/>
      <c r="F2" s="942"/>
      <c r="G2" s="414"/>
      <c r="H2" s="415"/>
      <c r="I2" s="416"/>
      <c r="J2" s="1701"/>
      <c r="K2" s="1701"/>
      <c r="L2" s="1701"/>
      <c r="M2" s="1701"/>
      <c r="N2" s="1701"/>
      <c r="O2" s="1701"/>
      <c r="P2" s="413"/>
      <c r="Q2" s="413"/>
      <c r="R2" s="942"/>
      <c r="S2" s="942"/>
      <c r="T2" s="942"/>
      <c r="U2" s="942"/>
      <c r="V2" s="1705" t="s">
        <v>36</v>
      </c>
      <c r="W2" s="1706"/>
      <c r="X2" s="1707"/>
      <c r="Y2" s="628"/>
      <c r="Z2" s="1708" t="s">
        <v>875</v>
      </c>
      <c r="AA2" s="1708"/>
      <c r="AB2" s="1708"/>
      <c r="AC2" s="1708"/>
      <c r="AD2" s="1708"/>
      <c r="AE2" s="1708"/>
      <c r="AF2" s="1708"/>
      <c r="AG2" s="1708"/>
      <c r="AH2" s="1708"/>
      <c r="AI2" s="1708"/>
      <c r="AJ2" s="1708"/>
      <c r="AK2" s="1708"/>
      <c r="AL2" s="1708"/>
      <c r="AM2" s="417"/>
      <c r="AN2" s="1709" t="s">
        <v>263</v>
      </c>
      <c r="AO2" s="1709"/>
      <c r="AP2" s="1709"/>
      <c r="AQ2" s="1709"/>
      <c r="AR2" s="1709"/>
      <c r="AS2" s="1709"/>
      <c r="AT2" s="1709"/>
      <c r="AU2" s="1709"/>
      <c r="AV2" s="1709"/>
      <c r="AW2" s="1709"/>
      <c r="AX2" s="1709"/>
      <c r="AY2" s="1709"/>
      <c r="AZ2" s="500"/>
      <c r="BA2" s="418"/>
    </row>
    <row r="3" spans="1:53" ht="15.6" customHeight="1">
      <c r="A3" s="936"/>
      <c r="B3" s="936"/>
      <c r="C3" s="411"/>
      <c r="D3" s="484"/>
      <c r="E3" s="11"/>
      <c r="F3" s="420"/>
      <c r="G3" s="11"/>
      <c r="H3" s="11"/>
      <c r="I3" s="11"/>
      <c r="J3" s="11"/>
      <c r="K3" s="11"/>
      <c r="L3" s="4"/>
      <c r="M3" s="4"/>
      <c r="N3" s="4"/>
      <c r="O3" s="4"/>
      <c r="P3" s="4"/>
      <c r="Q3" s="942"/>
      <c r="R3" s="942"/>
      <c r="S3" s="942"/>
      <c r="T3" s="942"/>
      <c r="U3" s="942"/>
      <c r="V3" s="942"/>
      <c r="W3" s="942"/>
      <c r="X3" s="942"/>
      <c r="Y3" s="628"/>
      <c r="Z3" s="1712" t="s">
        <v>264</v>
      </c>
      <c r="AA3" s="1710" t="s">
        <v>265</v>
      </c>
      <c r="AB3" s="1711"/>
      <c r="AC3" s="1710" t="s">
        <v>266</v>
      </c>
      <c r="AD3" s="1711"/>
      <c r="AE3" s="1710" t="s">
        <v>267</v>
      </c>
      <c r="AF3" s="1711"/>
      <c r="AG3" s="1710" t="s">
        <v>268</v>
      </c>
      <c r="AH3" s="1711"/>
      <c r="AI3" s="1710" t="s">
        <v>269</v>
      </c>
      <c r="AJ3" s="1711"/>
      <c r="AK3" s="1710" t="s">
        <v>270</v>
      </c>
      <c r="AL3" s="1711"/>
      <c r="AM3" s="944"/>
      <c r="AN3" s="945"/>
      <c r="AO3" s="945"/>
      <c r="AP3" s="945"/>
      <c r="AQ3" s="945"/>
      <c r="AR3" s="945"/>
      <c r="AS3" s="945"/>
      <c r="AT3" s="945"/>
      <c r="AU3" s="945"/>
      <c r="AV3" s="945"/>
      <c r="AW3" s="945"/>
      <c r="AX3" s="945"/>
      <c r="AY3" s="945"/>
      <c r="AZ3" s="945"/>
      <c r="BA3" s="945"/>
    </row>
    <row r="4" spans="1:53">
      <c r="A4" s="937"/>
      <c r="B4" s="284"/>
      <c r="C4" s="284"/>
      <c r="D4" s="1624" t="s">
        <v>271</v>
      </c>
      <c r="E4" s="1624"/>
      <c r="F4" s="1624"/>
      <c r="G4" s="196" t="s">
        <v>272</v>
      </c>
      <c r="H4" s="1716" t="s">
        <v>961</v>
      </c>
      <c r="I4" s="1716"/>
      <c r="J4" s="1716"/>
      <c r="K4" s="1716"/>
      <c r="L4" s="1716"/>
      <c r="M4" s="1716"/>
      <c r="N4" s="1716"/>
      <c r="O4" s="1716"/>
      <c r="P4" s="4"/>
      <c r="Q4" s="381"/>
      <c r="R4" s="1526" t="s">
        <v>273</v>
      </c>
      <c r="S4" s="1526"/>
      <c r="T4" s="1526"/>
      <c r="U4" s="1526"/>
      <c r="V4" s="1526"/>
      <c r="W4" s="1526"/>
      <c r="X4" s="946"/>
      <c r="Y4" s="628"/>
      <c r="Z4" s="1713"/>
      <c r="AA4" s="1714"/>
      <c r="AB4" s="1715"/>
      <c r="AC4" s="1714"/>
      <c r="AD4" s="1715"/>
      <c r="AE4" s="1714"/>
      <c r="AF4" s="1715"/>
      <c r="AG4" s="1714"/>
      <c r="AH4" s="1715"/>
      <c r="AI4" s="1714"/>
      <c r="AJ4" s="1715"/>
      <c r="AK4" s="742" t="s">
        <v>274</v>
      </c>
      <c r="AL4" s="743" t="s">
        <v>275</v>
      </c>
      <c r="AM4" s="944"/>
      <c r="AN4" s="945"/>
      <c r="AO4" s="945"/>
      <c r="AP4" s="945"/>
      <c r="AQ4" s="945"/>
      <c r="AR4" s="945"/>
      <c r="AS4" s="945"/>
      <c r="AT4" s="945"/>
      <c r="AU4" s="945"/>
      <c r="AV4" s="945"/>
      <c r="AW4" s="945"/>
      <c r="AX4" s="945"/>
      <c r="AY4" s="945"/>
      <c r="AZ4" s="945"/>
      <c r="BA4" s="945"/>
    </row>
    <row r="5" spans="1:53">
      <c r="A5" s="936"/>
      <c r="B5" s="936"/>
      <c r="C5" s="936"/>
      <c r="D5" s="939" t="s">
        <v>276</v>
      </c>
      <c r="E5" s="419">
        <f>1000+(L63-1000)*(L61/L60)</f>
        <v>1074.765625</v>
      </c>
      <c r="F5" s="1696"/>
      <c r="G5" s="665" t="s">
        <v>277</v>
      </c>
      <c r="H5" s="366">
        <f>(E5-E6)/(7.75-3*(E5-1000)/800)</f>
        <v>10.800015688530376</v>
      </c>
      <c r="I5" s="1717" t="str">
        <f>"% ABV OR, = "&amp;FIXED(L87,1)&amp;"% ABV after priming with "&amp;FIXED(L80*(L81/1000),2)&amp;"g ("&amp;FIXED(((L81/1000)*L80/S100),2)&amp;" level 5ml tsp) sugar per "&amp;(L81)&amp;"ml bottle."</f>
        <v>% ABV OR, = 10.8% ABV after priming with 0.00g (0.00 level 5ml tsp) sugar per 750ml bottle.</v>
      </c>
      <c r="J5" s="1717"/>
      <c r="K5" s="1717"/>
      <c r="L5" s="1717"/>
      <c r="M5" s="1717"/>
      <c r="N5" s="1717"/>
      <c r="O5" s="1718"/>
      <c r="P5" s="365"/>
      <c r="Q5" s="62"/>
      <c r="R5" s="1526" t="s">
        <v>278</v>
      </c>
      <c r="S5" s="1526"/>
      <c r="T5" s="1526"/>
      <c r="U5" s="1526"/>
      <c r="V5" s="1526"/>
      <c r="W5" s="1526"/>
      <c r="X5" s="936"/>
      <c r="Y5" s="628"/>
      <c r="Z5" s="424" t="s">
        <v>279</v>
      </c>
      <c r="AA5" s="1719" t="s">
        <v>280</v>
      </c>
      <c r="AB5" s="1720"/>
      <c r="AC5" s="1719" t="s">
        <v>281</v>
      </c>
      <c r="AD5" s="1720"/>
      <c r="AE5" s="1719" t="s">
        <v>282</v>
      </c>
      <c r="AF5" s="1720"/>
      <c r="AG5" s="1719" t="s">
        <v>283</v>
      </c>
      <c r="AH5" s="1720"/>
      <c r="AI5" s="1721" t="s">
        <v>284</v>
      </c>
      <c r="AJ5" s="1722"/>
      <c r="AK5" s="943" t="s">
        <v>285</v>
      </c>
      <c r="AL5" s="744" t="s">
        <v>285</v>
      </c>
      <c r="AM5" s="1699" t="s">
        <v>286</v>
      </c>
      <c r="AN5" s="1700"/>
      <c r="AO5" s="1700"/>
      <c r="AP5" s="1700"/>
      <c r="AQ5" s="1700"/>
      <c r="AR5" s="1700"/>
      <c r="AS5" s="1700"/>
      <c r="AT5" s="1700"/>
      <c r="AU5" s="1700"/>
      <c r="AV5" s="1700"/>
      <c r="AW5" s="1700"/>
      <c r="AX5" s="1700"/>
      <c r="AY5" s="1700"/>
      <c r="AZ5" s="1700"/>
      <c r="BA5" s="1700"/>
    </row>
    <row r="6" spans="1:53">
      <c r="A6" s="942"/>
      <c r="B6" s="936"/>
      <c r="C6" s="936"/>
      <c r="D6" s="938" t="s">
        <v>287</v>
      </c>
      <c r="E6" s="470">
        <f>1000+(L64-1000)*(L61/L60)</f>
        <v>994.09351562500001</v>
      </c>
      <c r="F6" s="1697"/>
      <c r="G6" s="666" t="s">
        <v>288</v>
      </c>
      <c r="H6" s="367">
        <f>((S27/(10*L61)+0.15)*L62/E8)</f>
        <v>0.58750000000000002</v>
      </c>
      <c r="I6" s="1468" t="s">
        <v>289</v>
      </c>
      <c r="J6" s="1468"/>
      <c r="K6" s="1468"/>
      <c r="L6" s="1468"/>
      <c r="M6" s="1468"/>
      <c r="N6" s="1468"/>
      <c r="O6" s="1537"/>
      <c r="P6" s="935"/>
      <c r="Q6" s="64"/>
      <c r="R6" s="1526" t="s">
        <v>290</v>
      </c>
      <c r="S6" s="1526"/>
      <c r="T6" s="1526"/>
      <c r="U6" s="1526"/>
      <c r="V6" s="1526"/>
      <c r="W6" s="1526"/>
      <c r="X6" s="936"/>
      <c r="Y6" s="628"/>
      <c r="Z6" s="200" t="s">
        <v>291</v>
      </c>
      <c r="AA6" s="1693" t="s">
        <v>292</v>
      </c>
      <c r="AB6" s="1694"/>
      <c r="AC6" s="1693" t="s">
        <v>293</v>
      </c>
      <c r="AD6" s="1694"/>
      <c r="AE6" s="1693" t="s">
        <v>294</v>
      </c>
      <c r="AF6" s="1694"/>
      <c r="AG6" s="1693" t="s">
        <v>295</v>
      </c>
      <c r="AH6" s="1694"/>
      <c r="AI6" s="1693" t="s">
        <v>296</v>
      </c>
      <c r="AJ6" s="1694"/>
      <c r="AK6" s="943" t="s">
        <v>297</v>
      </c>
      <c r="AL6" s="201" t="s">
        <v>298</v>
      </c>
      <c r="AM6" s="1699"/>
      <c r="AN6" s="1700"/>
      <c r="AO6" s="1700"/>
      <c r="AP6" s="1700"/>
      <c r="AQ6" s="1700"/>
      <c r="AR6" s="1700"/>
      <c r="AS6" s="1700"/>
      <c r="AT6" s="1700"/>
      <c r="AU6" s="1700"/>
      <c r="AV6" s="1700"/>
      <c r="AW6" s="1700"/>
      <c r="AX6" s="1700"/>
      <c r="AY6" s="1700"/>
      <c r="AZ6" s="1700"/>
      <c r="BA6" s="1700"/>
    </row>
    <row r="7" spans="1:53">
      <c r="A7" s="942"/>
      <c r="B7" s="936"/>
      <c r="C7" s="936"/>
      <c r="D7" s="938" t="s">
        <v>299</v>
      </c>
      <c r="E7" s="470">
        <f>E6+W43</f>
        <v>994.09351562500001</v>
      </c>
      <c r="F7" s="1698"/>
      <c r="G7" s="666" t="s">
        <v>300</v>
      </c>
      <c r="H7" s="367">
        <f>(T27/(10*L60)*L62/E8)</f>
        <v>4.5833333333333337E-2</v>
      </c>
      <c r="I7" s="1468" t="s">
        <v>301</v>
      </c>
      <c r="J7" s="1468"/>
      <c r="K7" s="1468"/>
      <c r="L7" s="1468"/>
      <c r="M7" s="1468"/>
      <c r="N7" s="1468"/>
      <c r="O7" s="1537"/>
      <c r="P7" s="935"/>
      <c r="Q7" s="423"/>
      <c r="R7" s="1468" t="s">
        <v>302</v>
      </c>
      <c r="S7" s="1468"/>
      <c r="T7" s="1468"/>
      <c r="U7" s="1468"/>
      <c r="V7" s="1468"/>
      <c r="W7" s="1468"/>
      <c r="X7" s="63"/>
      <c r="Y7" s="63"/>
      <c r="Z7" s="200" t="s">
        <v>303</v>
      </c>
      <c r="AA7" s="1693" t="s">
        <v>304</v>
      </c>
      <c r="AB7" s="1694"/>
      <c r="AC7" s="1693" t="s">
        <v>305</v>
      </c>
      <c r="AD7" s="1694"/>
      <c r="AE7" s="1693" t="s">
        <v>306</v>
      </c>
      <c r="AF7" s="1694"/>
      <c r="AG7" s="1693" t="s">
        <v>304</v>
      </c>
      <c r="AH7" s="1694"/>
      <c r="AI7" s="1693" t="s">
        <v>307</v>
      </c>
      <c r="AJ7" s="1694"/>
      <c r="AK7" s="943" t="s">
        <v>308</v>
      </c>
      <c r="AL7" s="201" t="s">
        <v>308</v>
      </c>
      <c r="AM7" s="1699"/>
      <c r="AN7" s="1700"/>
      <c r="AO7" s="1700"/>
      <c r="AP7" s="1700"/>
      <c r="AQ7" s="1700"/>
      <c r="AR7" s="1700"/>
      <c r="AS7" s="1700"/>
      <c r="AT7" s="1700"/>
      <c r="AU7" s="1700"/>
      <c r="AV7" s="1700"/>
      <c r="AW7" s="1700"/>
      <c r="AX7" s="1700"/>
      <c r="AY7" s="1700"/>
      <c r="AZ7" s="1700"/>
      <c r="BA7" s="1700"/>
    </row>
    <row r="8" spans="1:53" ht="15" customHeight="1">
      <c r="A8" s="942"/>
      <c r="B8" s="936"/>
      <c r="C8" s="936"/>
      <c r="D8" s="430" t="s">
        <v>309</v>
      </c>
      <c r="E8" s="925">
        <v>4.5</v>
      </c>
      <c r="F8" s="535" t="str">
        <f>" ̸  "&amp;FIXED(L61)&amp;" litres"</f>
        <v xml:space="preserve"> ̸  4.80 litres</v>
      </c>
      <c r="G8" s="667" t="s">
        <v>310</v>
      </c>
      <c r="H8" s="1690" t="str">
        <f>IF(E7&gt;1020,"Dessert ̸ 6",IF(E7&gt;1015,"Sweet ̸ 5",IF(E7&gt;1010,"Medium Sweet ̸ 4",IF(E7&gt;1005,"Medium ̸ 3",IF(E7&gt;998,"Medium dry ̸ 2",IF(E7&gt;0,"Dry ̸ 1"))))))</f>
        <v>Dry ̸ 1</v>
      </c>
      <c r="I8" s="1691"/>
      <c r="J8" s="1691"/>
      <c r="K8" s="1691"/>
      <c r="L8" s="1691"/>
      <c r="M8" s="1691"/>
      <c r="N8" s="1691"/>
      <c r="O8" s="1692"/>
      <c r="P8" s="935"/>
      <c r="Q8" s="422"/>
      <c r="R8" s="1468" t="s">
        <v>311</v>
      </c>
      <c r="S8" s="1468"/>
      <c r="T8" s="1468"/>
      <c r="U8" s="1468"/>
      <c r="V8" s="1468"/>
      <c r="W8" s="1468"/>
      <c r="X8" s="63"/>
      <c r="Y8" s="63"/>
      <c r="Z8" s="202" t="s">
        <v>310</v>
      </c>
      <c r="AA8" s="1693" t="s">
        <v>312</v>
      </c>
      <c r="AB8" s="1694"/>
      <c r="AC8" s="1693" t="s">
        <v>313</v>
      </c>
      <c r="AD8" s="1694"/>
      <c r="AE8" s="1693" t="s">
        <v>314</v>
      </c>
      <c r="AF8" s="1694"/>
      <c r="AG8" s="1693" t="s">
        <v>315</v>
      </c>
      <c r="AH8" s="1694"/>
      <c r="AI8" s="1693" t="s">
        <v>316</v>
      </c>
      <c r="AJ8" s="1694"/>
      <c r="AK8" s="1693" t="s">
        <v>317</v>
      </c>
      <c r="AL8" s="1694"/>
      <c r="AM8" s="944"/>
      <c r="AN8" s="148" t="s">
        <v>318</v>
      </c>
      <c r="AO8" s="16" t="s">
        <v>319</v>
      </c>
      <c r="AP8" s="17" t="s">
        <v>320</v>
      </c>
      <c r="AQ8" s="17" t="s">
        <v>321</v>
      </c>
      <c r="AR8" s="17" t="s">
        <v>322</v>
      </c>
      <c r="AS8" s="17" t="s">
        <v>323</v>
      </c>
      <c r="AT8" s="16" t="s">
        <v>324</v>
      </c>
      <c r="AU8" s="16" t="s">
        <v>325</v>
      </c>
      <c r="AV8" s="16" t="s">
        <v>326</v>
      </c>
      <c r="AW8" s="16" t="s">
        <v>327</v>
      </c>
      <c r="AX8" s="16" t="s">
        <v>328</v>
      </c>
      <c r="AY8" s="16" t="s">
        <v>329</v>
      </c>
      <c r="AZ8" s="945"/>
      <c r="BA8" s="945"/>
    </row>
    <row r="9" spans="1:53" ht="15" customHeight="1">
      <c r="A9" s="942"/>
      <c r="B9" s="463"/>
      <c r="C9" s="941"/>
      <c r="D9" s="803"/>
      <c r="E9" s="428"/>
      <c r="F9" s="1395" t="s">
        <v>937</v>
      </c>
      <c r="G9" s="1395"/>
      <c r="H9" s="1395"/>
      <c r="I9" s="1395"/>
      <c r="J9" s="1395"/>
      <c r="K9" s="1395"/>
      <c r="L9" s="1395"/>
      <c r="M9" s="1395"/>
      <c r="N9" s="1395"/>
      <c r="O9" s="1395"/>
      <c r="P9" s="1395"/>
      <c r="Q9" s="421"/>
      <c r="R9" s="1466" t="s">
        <v>330</v>
      </c>
      <c r="S9" s="1466"/>
      <c r="T9" s="1466"/>
      <c r="U9" s="1466"/>
      <c r="V9" s="1466"/>
      <c r="W9" s="1466"/>
      <c r="X9" s="63"/>
      <c r="Y9" s="63"/>
      <c r="Z9" s="203" t="s">
        <v>331</v>
      </c>
      <c r="AA9" s="203" t="s">
        <v>242</v>
      </c>
      <c r="AB9" s="651" t="s">
        <v>301</v>
      </c>
      <c r="AC9" s="651" t="s">
        <v>301</v>
      </c>
      <c r="AD9" s="651" t="s">
        <v>301</v>
      </c>
      <c r="AE9" s="651" t="s">
        <v>301</v>
      </c>
      <c r="AF9" s="651" t="s">
        <v>301</v>
      </c>
      <c r="AG9" s="1695" t="s">
        <v>332</v>
      </c>
      <c r="AH9" s="1695"/>
      <c r="AI9" s="1695"/>
      <c r="AJ9" s="1695"/>
      <c r="AK9" s="1695"/>
      <c r="AL9" s="1695"/>
      <c r="AM9" s="1673" t="s">
        <v>333</v>
      </c>
      <c r="AN9" s="648"/>
      <c r="AO9" s="604"/>
      <c r="AP9" s="604"/>
      <c r="AQ9" s="604"/>
      <c r="AR9" s="604"/>
      <c r="AS9" s="604"/>
      <c r="AT9" s="604"/>
      <c r="AU9" s="604"/>
      <c r="AV9" s="604"/>
      <c r="AW9" s="604"/>
      <c r="AX9" s="604"/>
      <c r="AY9" s="604"/>
      <c r="AZ9" s="1675" t="s">
        <v>334</v>
      </c>
      <c r="BA9" s="1676"/>
    </row>
    <row r="10" spans="1:53">
      <c r="A10" s="937"/>
      <c r="B10" s="1689" t="s">
        <v>872</v>
      </c>
      <c r="C10" s="1689"/>
      <c r="D10" s="1689"/>
      <c r="E10" s="1689"/>
      <c r="F10" s="1689"/>
      <c r="G10" s="1689"/>
      <c r="H10" s="940"/>
      <c r="I10" s="940"/>
      <c r="J10" s="940"/>
      <c r="K10" s="940"/>
      <c r="L10" s="940"/>
      <c r="M10" s="940"/>
      <c r="N10" s="940"/>
      <c r="O10" s="940"/>
      <c r="P10" s="937"/>
      <c r="Q10" s="428"/>
      <c r="R10" s="428"/>
      <c r="S10" s="428"/>
      <c r="T10" s="428"/>
      <c r="U10" s="428"/>
      <c r="V10" s="428"/>
      <c r="W10" s="428"/>
      <c r="X10" s="428"/>
      <c r="Y10" s="628"/>
      <c r="Z10" s="204"/>
      <c r="AA10" s="204"/>
      <c r="AB10" s="652" t="s">
        <v>319</v>
      </c>
      <c r="AC10" s="653" t="s">
        <v>320</v>
      </c>
      <c r="AD10" s="653" t="s">
        <v>321</v>
      </c>
      <c r="AE10" s="653" t="s">
        <v>322</v>
      </c>
      <c r="AF10" s="653" t="s">
        <v>323</v>
      </c>
      <c r="AG10" s="652" t="s">
        <v>335</v>
      </c>
      <c r="AH10" s="652" t="s">
        <v>336</v>
      </c>
      <c r="AI10" s="652" t="s">
        <v>326</v>
      </c>
      <c r="AJ10" s="652" t="s">
        <v>327</v>
      </c>
      <c r="AK10" s="652" t="s">
        <v>328</v>
      </c>
      <c r="AL10" s="652" t="s">
        <v>329</v>
      </c>
      <c r="AM10" s="1674"/>
      <c r="AN10" s="649" t="s">
        <v>51</v>
      </c>
      <c r="AO10" s="605" t="s">
        <v>51</v>
      </c>
      <c r="AP10" s="605" t="s">
        <v>51</v>
      </c>
      <c r="AQ10" s="605" t="s">
        <v>51</v>
      </c>
      <c r="AR10" s="605" t="s">
        <v>51</v>
      </c>
      <c r="AS10" s="605" t="s">
        <v>51</v>
      </c>
      <c r="AT10" s="605" t="s">
        <v>51</v>
      </c>
      <c r="AU10" s="605" t="s">
        <v>51</v>
      </c>
      <c r="AV10" s="605" t="s">
        <v>51</v>
      </c>
      <c r="AW10" s="605" t="s">
        <v>51</v>
      </c>
      <c r="AX10" s="605" t="s">
        <v>51</v>
      </c>
      <c r="AY10" s="605" t="s">
        <v>51</v>
      </c>
      <c r="AZ10" s="1677"/>
      <c r="BA10" s="1678"/>
    </row>
    <row r="11" spans="1:53" ht="15" customHeight="1">
      <c r="A11" s="1503" t="s">
        <v>337</v>
      </c>
      <c r="B11" s="1469" t="s">
        <v>338</v>
      </c>
      <c r="C11" s="1481" t="s">
        <v>339</v>
      </c>
      <c r="D11" s="1679" t="s">
        <v>340</v>
      </c>
      <c r="E11" s="1680"/>
      <c r="F11" s="255" t="s">
        <v>52</v>
      </c>
      <c r="G11" s="843"/>
      <c r="H11" s="339"/>
      <c r="I11" s="1465" t="s">
        <v>341</v>
      </c>
      <c r="J11" s="1465"/>
      <c r="K11" s="1465"/>
      <c r="L11" s="854"/>
      <c r="M11" s="868"/>
      <c r="N11" s="868"/>
      <c r="O11" s="868"/>
      <c r="P11" s="868"/>
      <c r="Q11" s="868"/>
      <c r="R11" s="868"/>
      <c r="S11" s="868"/>
      <c r="T11" s="868"/>
      <c r="U11" s="868"/>
      <c r="V11" s="868"/>
      <c r="W11" s="843"/>
      <c r="X11" s="843"/>
      <c r="Y11" s="22"/>
      <c r="Z11" s="1681" t="s">
        <v>342</v>
      </c>
      <c r="AA11" s="1681"/>
      <c r="AB11" s="1681"/>
      <c r="AC11" s="1681"/>
      <c r="AD11" s="1681"/>
      <c r="AE11" s="1681"/>
      <c r="AF11" s="1681"/>
      <c r="AG11" s="1681"/>
      <c r="AH11" s="1681"/>
      <c r="AI11" s="1681"/>
      <c r="AJ11" s="1681"/>
      <c r="AK11" s="1681"/>
      <c r="AL11" s="1681"/>
      <c r="AM11" s="804" t="s">
        <v>870</v>
      </c>
      <c r="AN11" s="813"/>
      <c r="AO11" s="813"/>
      <c r="AP11" s="813"/>
      <c r="AQ11" s="813"/>
      <c r="AR11" s="813"/>
      <c r="AS11" s="813"/>
      <c r="AT11" s="813"/>
      <c r="AU11" s="813"/>
      <c r="AV11" s="813"/>
      <c r="AW11" s="813"/>
      <c r="AX11" s="813"/>
      <c r="AY11" s="813"/>
      <c r="AZ11" s="1682"/>
      <c r="BA11" s="1682"/>
    </row>
    <row r="12" spans="1:53">
      <c r="A12" s="1504"/>
      <c r="B12" s="1470"/>
      <c r="C12" s="1482"/>
      <c r="D12" s="1683"/>
      <c r="E12" s="1683"/>
      <c r="F12" s="224" t="s">
        <v>51</v>
      </c>
      <c r="G12" s="254"/>
      <c r="H12" s="339"/>
      <c r="I12" s="4"/>
      <c r="J12" s="1684" t="s">
        <v>343</v>
      </c>
      <c r="K12" s="1685"/>
      <c r="L12" s="240" t="s">
        <v>52</v>
      </c>
      <c r="M12" s="1687"/>
      <c r="N12" s="1688"/>
      <c r="O12" s="1688"/>
      <c r="P12" s="1688"/>
      <c r="Q12" s="1688"/>
      <c r="R12" s="1688"/>
      <c r="S12" s="1688"/>
      <c r="T12" s="1688"/>
      <c r="U12" s="1688"/>
      <c r="V12" s="1688"/>
      <c r="W12" s="1044">
        <f>375*(L13)/(S13-1000)</f>
        <v>750</v>
      </c>
      <c r="X12" s="843"/>
      <c r="Y12" s="20"/>
      <c r="Z12" s="816"/>
      <c r="AA12" s="110"/>
      <c r="AB12" s="110"/>
      <c r="AC12" s="110"/>
      <c r="AD12" s="110"/>
      <c r="AE12" s="110"/>
      <c r="AF12" s="110"/>
      <c r="AG12" s="110"/>
      <c r="AH12" s="110"/>
      <c r="AI12" s="110"/>
      <c r="AJ12" s="817"/>
      <c r="AK12" s="817"/>
      <c r="AL12" s="817"/>
      <c r="AM12" s="818"/>
      <c r="AN12" s="817"/>
      <c r="AO12" s="817"/>
      <c r="AP12" s="817"/>
      <c r="AQ12" s="817"/>
      <c r="AR12" s="817"/>
      <c r="AS12" s="817"/>
      <c r="AT12" s="817"/>
      <c r="AU12" s="817"/>
      <c r="AV12" s="817"/>
      <c r="AW12" s="817"/>
      <c r="AX12" s="817"/>
      <c r="AY12" s="817"/>
      <c r="AZ12" s="1686" t="s">
        <v>344</v>
      </c>
      <c r="BA12" s="1686"/>
    </row>
    <row r="13" spans="1:53" ht="15" customHeight="1">
      <c r="A13" s="205">
        <v>7</v>
      </c>
      <c r="B13" s="205">
        <v>9</v>
      </c>
      <c r="C13" s="156">
        <v>0.15</v>
      </c>
      <c r="D13" s="919" t="str">
        <f t="shared" ref="D13:D34" si="0">Z13</f>
        <v>APPLE</v>
      </c>
      <c r="E13" s="923" t="str">
        <f t="shared" ref="E13:E34" si="1">AA13</f>
        <v>EATING</v>
      </c>
      <c r="F13" s="205"/>
      <c r="G13" s="843"/>
      <c r="H13" s="339"/>
      <c r="I13" s="843"/>
      <c r="J13" s="1417" t="s">
        <v>345</v>
      </c>
      <c r="K13" s="1418"/>
      <c r="L13" s="524">
        <v>600</v>
      </c>
      <c r="M13" s="1656" t="str">
        <f>"g, add to "&amp;ROUND((375*L13)/(S13-1000)-0.58*L13,-1)&amp;"ml hot water to obtain "&amp;ROUND(W12,-1)&amp;"ml of sugar syrup with an S.G. of approx."</f>
        <v>g, add to 400ml hot water to obtain 750ml of sugar syrup with an S.G. of approx.</v>
      </c>
      <c r="N13" s="1657"/>
      <c r="O13" s="1657"/>
      <c r="P13" s="1657"/>
      <c r="Q13" s="1657"/>
      <c r="R13" s="1657"/>
      <c r="S13" s="525">
        <v>1300</v>
      </c>
      <c r="T13" s="1549" t="s">
        <v>346</v>
      </c>
      <c r="U13" s="1549"/>
      <c r="V13" s="1549"/>
      <c r="W13" s="1592"/>
      <c r="X13" s="843"/>
      <c r="Y13" s="20"/>
      <c r="Z13" s="65" t="s">
        <v>347</v>
      </c>
      <c r="AA13" s="65" t="s">
        <v>348</v>
      </c>
      <c r="AB13" s="507">
        <v>10.4</v>
      </c>
      <c r="AC13" s="507">
        <v>0.7</v>
      </c>
      <c r="AD13" s="507">
        <v>0.08</v>
      </c>
      <c r="AE13" s="508">
        <v>13</v>
      </c>
      <c r="AF13" s="507">
        <v>0.8</v>
      </c>
      <c r="AG13" s="507">
        <v>40</v>
      </c>
      <c r="AH13" s="507">
        <v>107</v>
      </c>
      <c r="AI13" s="509">
        <v>0.02</v>
      </c>
      <c r="AJ13" s="509">
        <v>0.09</v>
      </c>
      <c r="AK13" s="509">
        <f>0.084/1.38</f>
        <v>6.0869565217391314E-2</v>
      </c>
      <c r="AL13" s="509">
        <v>0.04</v>
      </c>
      <c r="AM13" s="508" t="s">
        <v>349</v>
      </c>
      <c r="AN13" s="819">
        <f t="shared" ref="AN13:AN44" si="2">C13*F13</f>
        <v>0</v>
      </c>
      <c r="AO13" s="507">
        <f t="shared" ref="AO13:AO44" si="3">F13*AB13/100</f>
        <v>0</v>
      </c>
      <c r="AP13" s="820">
        <f t="shared" ref="AP13:AP44" si="4">F13*AC13/100</f>
        <v>0</v>
      </c>
      <c r="AQ13" s="820">
        <f t="shared" ref="AQ13:AQ44" si="5">F13*AD13/100</f>
        <v>0</v>
      </c>
      <c r="AR13" s="820">
        <f t="shared" ref="AR13:AR44" si="6">F13*(AE13-AB13)/100</f>
        <v>0</v>
      </c>
      <c r="AS13" s="820">
        <f t="shared" ref="AS13:AS44" si="7">F13*AF13/1200</f>
        <v>0</v>
      </c>
      <c r="AT13" s="507">
        <f t="shared" ref="AT13:AT44" si="8">$F13*AG13/100</f>
        <v>0</v>
      </c>
      <c r="AU13" s="507">
        <f t="shared" ref="AU13:AU44" si="9">$F13*AH13/100</f>
        <v>0</v>
      </c>
      <c r="AV13" s="507">
        <f t="shared" ref="AV13:AV44" si="10">$F13*AI13/100</f>
        <v>0</v>
      </c>
      <c r="AW13" s="507">
        <f t="shared" ref="AW13:AW44" si="11">$F13*AJ13/100</f>
        <v>0</v>
      </c>
      <c r="AX13" s="507">
        <f t="shared" ref="AX13:AX44" si="12">$F13*AK13/100</f>
        <v>0</v>
      </c>
      <c r="AY13" s="507">
        <f t="shared" ref="AY13:AY44" si="13">$F13*AL13/100</f>
        <v>0</v>
      </c>
      <c r="AZ13" s="508" t="s">
        <v>326</v>
      </c>
      <c r="BA13" s="821" t="s">
        <v>350</v>
      </c>
    </row>
    <row r="14" spans="1:53" ht="15" customHeight="1">
      <c r="A14" s="206">
        <v>7</v>
      </c>
      <c r="B14" s="206">
        <v>9</v>
      </c>
      <c r="C14" s="157">
        <v>0.15</v>
      </c>
      <c r="D14" s="915" t="str">
        <f t="shared" si="0"/>
        <v xml:space="preserve">      "</v>
      </c>
      <c r="E14" s="916" t="str">
        <f t="shared" si="1"/>
        <v>COOKING</v>
      </c>
      <c r="F14" s="206"/>
      <c r="G14" s="843"/>
      <c r="H14" s="339"/>
      <c r="I14" s="843"/>
      <c r="J14" s="1401" t="s">
        <v>351</v>
      </c>
      <c r="K14" s="1402"/>
      <c r="L14" s="808"/>
      <c r="M14" s="1670" t="str">
        <f>"g = "&amp;FIXED((L14/4.5),1)&amp;" level 5ml tsp of  Baking Soda ̸ Sodium Bicarb. (NaHCO3)  OR   "&amp;FIXED((L14*1.2),1)&amp;"g Potassium Bicarb. (KHCO3)   OR   "&amp;FIXED((L14*0.6),1)&amp;"g Precipitated Chalk  (CaCO3)."</f>
        <v>g = 0.0 level 5ml tsp of  Baking Soda ̸ Sodium Bicarb. (NaHCO3)  OR   0.0g Potassium Bicarb. (KHCO3)   OR   0.0g Precipitated Chalk  (CaCO3).</v>
      </c>
      <c r="N14" s="1671"/>
      <c r="O14" s="1671"/>
      <c r="P14" s="1671"/>
      <c r="Q14" s="1671"/>
      <c r="R14" s="1671"/>
      <c r="S14" s="1671"/>
      <c r="T14" s="1671"/>
      <c r="U14" s="1671"/>
      <c r="V14" s="1671"/>
      <c r="W14" s="1672"/>
      <c r="X14" s="843"/>
      <c r="Y14" s="22"/>
      <c r="Z14" s="65" t="s">
        <v>352</v>
      </c>
      <c r="AA14" s="65" t="s">
        <v>353</v>
      </c>
      <c r="AB14" s="507">
        <v>9</v>
      </c>
      <c r="AC14" s="507">
        <v>1.2</v>
      </c>
      <c r="AD14" s="507">
        <v>0.08</v>
      </c>
      <c r="AE14" s="508">
        <v>13</v>
      </c>
      <c r="AF14" s="507">
        <v>0.8</v>
      </c>
      <c r="AG14" s="507">
        <v>40</v>
      </c>
      <c r="AH14" s="507">
        <v>107</v>
      </c>
      <c r="AI14" s="509">
        <v>0.02</v>
      </c>
      <c r="AJ14" s="509">
        <v>0.09</v>
      </c>
      <c r="AK14" s="509">
        <f>0.084/1.38</f>
        <v>6.0869565217391314E-2</v>
      </c>
      <c r="AL14" s="509">
        <v>0.04</v>
      </c>
      <c r="AM14" s="508" t="s">
        <v>349</v>
      </c>
      <c r="AN14" s="819">
        <f t="shared" si="2"/>
        <v>0</v>
      </c>
      <c r="AO14" s="507">
        <f t="shared" si="3"/>
        <v>0</v>
      </c>
      <c r="AP14" s="820">
        <f t="shared" si="4"/>
        <v>0</v>
      </c>
      <c r="AQ14" s="820">
        <f t="shared" si="5"/>
        <v>0</v>
      </c>
      <c r="AR14" s="820">
        <f t="shared" si="6"/>
        <v>0</v>
      </c>
      <c r="AS14" s="820">
        <f t="shared" si="7"/>
        <v>0</v>
      </c>
      <c r="AT14" s="507">
        <f t="shared" si="8"/>
        <v>0</v>
      </c>
      <c r="AU14" s="507">
        <f t="shared" si="9"/>
        <v>0</v>
      </c>
      <c r="AV14" s="507">
        <f t="shared" si="10"/>
        <v>0</v>
      </c>
      <c r="AW14" s="507">
        <f t="shared" si="11"/>
        <v>0</v>
      </c>
      <c r="AX14" s="507">
        <f t="shared" si="12"/>
        <v>0</v>
      </c>
      <c r="AY14" s="507">
        <f t="shared" si="13"/>
        <v>0</v>
      </c>
      <c r="AZ14" s="508" t="s">
        <v>354</v>
      </c>
      <c r="BA14" s="821" t="s">
        <v>355</v>
      </c>
    </row>
    <row r="15" spans="1:53" ht="15" customHeight="1">
      <c r="A15" s="206">
        <v>7</v>
      </c>
      <c r="B15" s="206">
        <v>9</v>
      </c>
      <c r="C15" s="157">
        <v>0.18</v>
      </c>
      <c r="D15" s="915" t="str">
        <f t="shared" si="0"/>
        <v xml:space="preserve">      "</v>
      </c>
      <c r="E15" s="916" t="str">
        <f t="shared" si="1"/>
        <v>CRAB</v>
      </c>
      <c r="F15" s="206"/>
      <c r="G15" s="843"/>
      <c r="H15" s="339"/>
      <c r="I15" s="843"/>
      <c r="J15" s="1408" t="s">
        <v>356</v>
      </c>
      <c r="K15" s="1409"/>
      <c r="L15" s="808"/>
      <c r="M15" s="1658" t="str">
        <f>"g = "&amp;FIXED(L15/5)&amp;" level 5ml tsp TARTARIC"</f>
        <v>g = 0.00 level 5ml tsp TARTARIC</v>
      </c>
      <c r="N15" s="1659"/>
      <c r="O15" s="1659"/>
      <c r="P15" s="1649" t="str">
        <f>"OR = "&amp;FIXED(L15*1.17233)&amp;"g = "&amp;FIXED(L15*1.17233/4.9)&amp;" tsp CITRIC"</f>
        <v>OR = 0.00g = 0.00 tsp CITRIC</v>
      </c>
      <c r="Q15" s="1649"/>
      <c r="R15" s="1649"/>
      <c r="S15" s="1649"/>
      <c r="T15" s="1649"/>
      <c r="U15" s="1649"/>
      <c r="V15" s="1649"/>
      <c r="W15" s="1660"/>
      <c r="X15" s="843"/>
      <c r="Y15" s="22"/>
      <c r="Z15" s="65" t="s">
        <v>352</v>
      </c>
      <c r="AA15" s="65" t="s">
        <v>357</v>
      </c>
      <c r="AB15" s="507">
        <v>7.6</v>
      </c>
      <c r="AC15" s="42">
        <v>1.3</v>
      </c>
      <c r="AD15" s="42">
        <v>0.08</v>
      </c>
      <c r="AE15" s="508">
        <v>14</v>
      </c>
      <c r="AF15" s="42">
        <v>0.8</v>
      </c>
      <c r="AG15" s="42">
        <v>40</v>
      </c>
      <c r="AH15" s="507">
        <v>194</v>
      </c>
      <c r="AI15" s="509">
        <v>0.03</v>
      </c>
      <c r="AJ15" s="509">
        <v>0.1</v>
      </c>
      <c r="AK15" s="509"/>
      <c r="AL15" s="509"/>
      <c r="AM15" s="508" t="s">
        <v>349</v>
      </c>
      <c r="AN15" s="819">
        <f t="shared" si="2"/>
        <v>0</v>
      </c>
      <c r="AO15" s="507">
        <f t="shared" si="3"/>
        <v>0</v>
      </c>
      <c r="AP15" s="820">
        <f t="shared" si="4"/>
        <v>0</v>
      </c>
      <c r="AQ15" s="820">
        <f t="shared" si="5"/>
        <v>0</v>
      </c>
      <c r="AR15" s="820">
        <f t="shared" si="6"/>
        <v>0</v>
      </c>
      <c r="AS15" s="820">
        <f t="shared" si="7"/>
        <v>0</v>
      </c>
      <c r="AT15" s="507">
        <f t="shared" si="8"/>
        <v>0</v>
      </c>
      <c r="AU15" s="507">
        <f t="shared" si="9"/>
        <v>0</v>
      </c>
      <c r="AV15" s="507">
        <f t="shared" si="10"/>
        <v>0</v>
      </c>
      <c r="AW15" s="507">
        <f t="shared" si="11"/>
        <v>0</v>
      </c>
      <c r="AX15" s="507">
        <f t="shared" si="12"/>
        <v>0</v>
      </c>
      <c r="AY15" s="507">
        <f t="shared" si="13"/>
        <v>0</v>
      </c>
      <c r="AZ15" s="508" t="s">
        <v>327</v>
      </c>
      <c r="BA15" s="821" t="s">
        <v>358</v>
      </c>
    </row>
    <row r="16" spans="1:53" ht="15" customHeight="1">
      <c r="A16" s="206">
        <v>7</v>
      </c>
      <c r="B16" s="206">
        <v>9</v>
      </c>
      <c r="C16" s="157">
        <v>0.12</v>
      </c>
      <c r="D16" s="915" t="str">
        <f t="shared" si="0"/>
        <v>APRICOT</v>
      </c>
      <c r="E16" s="916" t="str">
        <f t="shared" si="1"/>
        <v>FLESH</v>
      </c>
      <c r="F16" s="206"/>
      <c r="G16" s="843"/>
      <c r="H16" s="339"/>
      <c r="I16" s="4"/>
      <c r="J16" s="1661"/>
      <c r="K16" s="1662"/>
      <c r="L16" s="1665" t="s">
        <v>989</v>
      </c>
      <c r="M16" s="1648" t="str">
        <f>"OR = "&amp;FIXED(L15*1.11982)&amp;"g = "&amp;FIXED(L15*1.11982/4.5)&amp;" tsp MALIC"</f>
        <v>OR = 0.00g = 0.00 tsp MALIC</v>
      </c>
      <c r="N16" s="1649"/>
      <c r="O16" s="1649"/>
      <c r="P16" s="1649" t="str">
        <f>"OR = "&amp;FIXED(L15*1.08696)&amp;"g = "&amp;FIXED(L15*1.08696/4.5)&amp;" tsp ACID BLEND"</f>
        <v>OR = 0.00g = 0.00 tsp ACID BLEND</v>
      </c>
      <c r="Q16" s="1649"/>
      <c r="R16" s="1649"/>
      <c r="S16" s="1649"/>
      <c r="T16" s="1649"/>
      <c r="U16" s="1649"/>
      <c r="V16" s="1649"/>
      <c r="W16" s="1660"/>
      <c r="X16" s="843"/>
      <c r="Y16" s="22"/>
      <c r="Z16" s="65" t="s">
        <v>359</v>
      </c>
      <c r="AA16" s="65" t="s">
        <v>360</v>
      </c>
      <c r="AB16" s="507">
        <v>9.24</v>
      </c>
      <c r="AC16" s="507">
        <v>1.2</v>
      </c>
      <c r="AD16" s="507">
        <v>0.1</v>
      </c>
      <c r="AE16" s="508">
        <v>11</v>
      </c>
      <c r="AF16" s="42">
        <v>0.3</v>
      </c>
      <c r="AG16" s="507">
        <v>90</v>
      </c>
      <c r="AH16" s="507">
        <v>260</v>
      </c>
      <c r="AI16" s="509">
        <v>0.03</v>
      </c>
      <c r="AJ16" s="509">
        <v>0.6</v>
      </c>
      <c r="AK16" s="509">
        <v>0.24</v>
      </c>
      <c r="AL16" s="509">
        <v>5.3999999999999999E-2</v>
      </c>
      <c r="AM16" s="508" t="s">
        <v>349</v>
      </c>
      <c r="AN16" s="819">
        <f t="shared" si="2"/>
        <v>0</v>
      </c>
      <c r="AO16" s="507">
        <f t="shared" si="3"/>
        <v>0</v>
      </c>
      <c r="AP16" s="820">
        <f t="shared" si="4"/>
        <v>0</v>
      </c>
      <c r="AQ16" s="820">
        <f t="shared" si="5"/>
        <v>0</v>
      </c>
      <c r="AR16" s="820">
        <f t="shared" si="6"/>
        <v>0</v>
      </c>
      <c r="AS16" s="820">
        <f t="shared" si="7"/>
        <v>0</v>
      </c>
      <c r="AT16" s="507">
        <f t="shared" si="8"/>
        <v>0</v>
      </c>
      <c r="AU16" s="507">
        <f t="shared" si="9"/>
        <v>0</v>
      </c>
      <c r="AV16" s="507">
        <f t="shared" si="10"/>
        <v>0</v>
      </c>
      <c r="AW16" s="507">
        <f t="shared" si="11"/>
        <v>0</v>
      </c>
      <c r="AX16" s="507">
        <f t="shared" si="12"/>
        <v>0</v>
      </c>
      <c r="AY16" s="507">
        <f t="shared" si="13"/>
        <v>0</v>
      </c>
      <c r="AZ16" s="508" t="s">
        <v>328</v>
      </c>
      <c r="BA16" s="821" t="s">
        <v>361</v>
      </c>
    </row>
    <row r="17" spans="1:53" ht="15" customHeight="1">
      <c r="A17" s="206">
        <v>7</v>
      </c>
      <c r="B17" s="206">
        <v>9</v>
      </c>
      <c r="C17" s="157">
        <v>0.74</v>
      </c>
      <c r="D17" s="915" t="str">
        <f t="shared" si="0"/>
        <v xml:space="preserve">        "</v>
      </c>
      <c r="E17" s="916" t="str">
        <f t="shared" si="1"/>
        <v>DRIED</v>
      </c>
      <c r="F17" s="206"/>
      <c r="G17" s="843"/>
      <c r="H17" s="339"/>
      <c r="I17" s="4"/>
      <c r="J17" s="1663"/>
      <c r="K17" s="1664"/>
      <c r="L17" s="1666"/>
      <c r="M17" s="1667" t="str">
        <f>" ≈ "&amp;FIXED(L15/5)*8&amp;" tsp lemon juice (about."&amp;FIXED(L15*8/5/6)&amp;" lemons)"</f>
        <v xml:space="preserve"> ≈ 0 tsp lemon juice (about.0.00 lemons)</v>
      </c>
      <c r="N17" s="1668"/>
      <c r="O17" s="1668"/>
      <c r="P17" s="1668" t="s">
        <v>362</v>
      </c>
      <c r="Q17" s="1668"/>
      <c r="R17" s="1668"/>
      <c r="S17" s="1668"/>
      <c r="T17" s="1668"/>
      <c r="U17" s="1668"/>
      <c r="V17" s="1668"/>
      <c r="W17" s="1669"/>
      <c r="X17" s="69"/>
      <c r="Y17" s="22"/>
      <c r="Z17" s="65" t="s">
        <v>363</v>
      </c>
      <c r="AA17" s="65" t="s">
        <v>364</v>
      </c>
      <c r="AB17" s="507">
        <v>42</v>
      </c>
      <c r="AC17" s="507">
        <v>3.6</v>
      </c>
      <c r="AD17" s="42">
        <v>0.3</v>
      </c>
      <c r="AE17" s="508">
        <v>63</v>
      </c>
      <c r="AF17" s="42">
        <v>2</v>
      </c>
      <c r="AG17" s="507">
        <v>540</v>
      </c>
      <c r="AH17" s="507">
        <v>1800</v>
      </c>
      <c r="AI17" s="509">
        <v>1.4999999999999999E-2</v>
      </c>
      <c r="AJ17" s="509">
        <v>2.59</v>
      </c>
      <c r="AK17" s="509">
        <v>0.51600000000000001</v>
      </c>
      <c r="AL17" s="509">
        <v>0.14299999999999999</v>
      </c>
      <c r="AM17" s="508" t="s">
        <v>349</v>
      </c>
      <c r="AN17" s="819">
        <f t="shared" si="2"/>
        <v>0</v>
      </c>
      <c r="AO17" s="507">
        <f t="shared" si="3"/>
        <v>0</v>
      </c>
      <c r="AP17" s="820">
        <f t="shared" si="4"/>
        <v>0</v>
      </c>
      <c r="AQ17" s="820">
        <f t="shared" si="5"/>
        <v>0</v>
      </c>
      <c r="AR17" s="820">
        <f t="shared" si="6"/>
        <v>0</v>
      </c>
      <c r="AS17" s="820">
        <f t="shared" si="7"/>
        <v>0</v>
      </c>
      <c r="AT17" s="507">
        <f t="shared" si="8"/>
        <v>0</v>
      </c>
      <c r="AU17" s="507">
        <f t="shared" si="9"/>
        <v>0</v>
      </c>
      <c r="AV17" s="507">
        <f t="shared" si="10"/>
        <v>0</v>
      </c>
      <c r="AW17" s="507">
        <f t="shared" si="11"/>
        <v>0</v>
      </c>
      <c r="AX17" s="507">
        <f t="shared" si="12"/>
        <v>0</v>
      </c>
      <c r="AY17" s="507">
        <f t="shared" si="13"/>
        <v>0</v>
      </c>
      <c r="AZ17" s="508" t="s">
        <v>329</v>
      </c>
      <c r="BA17" s="822" t="s">
        <v>365</v>
      </c>
    </row>
    <row r="18" spans="1:53" ht="15" customHeight="1">
      <c r="A18" s="206" t="s">
        <v>366</v>
      </c>
      <c r="B18" s="206">
        <v>9</v>
      </c>
      <c r="C18" s="157">
        <v>0.15</v>
      </c>
      <c r="D18" s="915" t="str">
        <f t="shared" si="0"/>
        <v>BANANA - NO SKINS!</v>
      </c>
      <c r="E18" s="916" t="str">
        <f t="shared" si="1"/>
        <v>FLESH</v>
      </c>
      <c r="F18" s="206"/>
      <c r="G18" s="843"/>
      <c r="H18" s="339"/>
      <c r="I18" s="149"/>
      <c r="J18" s="1412" t="s">
        <v>367</v>
      </c>
      <c r="K18" s="1413"/>
      <c r="L18" s="429">
        <v>0</v>
      </c>
      <c r="M18" s="1595" t="str">
        <f>"g = "&amp;FIXED(L18/2.8)&amp;" level 5ml tsp POWDER"</f>
        <v>g = 0.00 level 5ml tsp POWDER</v>
      </c>
      <c r="N18" s="1596"/>
      <c r="O18" s="1596"/>
      <c r="P18" s="1646" t="str">
        <f>"OR = "&amp;FIXED((L18/2.8)*4.5*5,1)&amp;"g = "&amp;FIXED((L18/2.8)*4.5,1)&amp;" tsp LIQUID TANNIN"</f>
        <v>OR = 0.0g = 0.0 tsp LIQUID TANNIN</v>
      </c>
      <c r="Q18" s="1646"/>
      <c r="R18" s="1646"/>
      <c r="S18" s="1646"/>
      <c r="T18" s="1646"/>
      <c r="U18" s="1646"/>
      <c r="V18" s="1646"/>
      <c r="W18" s="1647"/>
      <c r="X18" s="21"/>
      <c r="Y18" s="22"/>
      <c r="Z18" s="65" t="s">
        <v>940</v>
      </c>
      <c r="AA18" s="66" t="s">
        <v>360</v>
      </c>
      <c r="AB18" s="507">
        <v>18</v>
      </c>
      <c r="AC18" s="507">
        <v>0.35</v>
      </c>
      <c r="AD18" s="507">
        <v>0.1</v>
      </c>
      <c r="AE18" s="508">
        <v>22</v>
      </c>
      <c r="AF18" s="507">
        <v>0.6</v>
      </c>
      <c r="AG18" s="507">
        <v>200</v>
      </c>
      <c r="AH18" s="507">
        <v>350</v>
      </c>
      <c r="AI18" s="509">
        <v>3.1E-2</v>
      </c>
      <c r="AJ18" s="509">
        <v>0.66500000000000004</v>
      </c>
      <c r="AK18" s="509">
        <v>0.33400000000000002</v>
      </c>
      <c r="AL18" s="509">
        <v>0.36699999999999999</v>
      </c>
      <c r="AM18" s="508" t="s">
        <v>349</v>
      </c>
      <c r="AN18" s="819">
        <f t="shared" si="2"/>
        <v>0</v>
      </c>
      <c r="AO18" s="507">
        <f t="shared" si="3"/>
        <v>0</v>
      </c>
      <c r="AP18" s="820">
        <f t="shared" si="4"/>
        <v>0</v>
      </c>
      <c r="AQ18" s="820">
        <f t="shared" si="5"/>
        <v>0</v>
      </c>
      <c r="AR18" s="820">
        <f t="shared" si="6"/>
        <v>0</v>
      </c>
      <c r="AS18" s="820">
        <f t="shared" si="7"/>
        <v>0</v>
      </c>
      <c r="AT18" s="507">
        <f t="shared" si="8"/>
        <v>0</v>
      </c>
      <c r="AU18" s="507">
        <f t="shared" si="9"/>
        <v>0</v>
      </c>
      <c r="AV18" s="507">
        <f t="shared" si="10"/>
        <v>0</v>
      </c>
      <c r="AW18" s="507">
        <f t="shared" si="11"/>
        <v>0</v>
      </c>
      <c r="AX18" s="507">
        <f t="shared" si="12"/>
        <v>0</v>
      </c>
      <c r="AY18" s="507">
        <f t="shared" si="13"/>
        <v>0</v>
      </c>
      <c r="AZ18" s="508" t="s">
        <v>368</v>
      </c>
      <c r="BA18" s="821" t="s">
        <v>369</v>
      </c>
    </row>
    <row r="19" spans="1:53" ht="15" customHeight="1">
      <c r="A19" s="206" t="s">
        <v>366</v>
      </c>
      <c r="B19" s="206">
        <v>9</v>
      </c>
      <c r="C19" s="157">
        <v>0.95</v>
      </c>
      <c r="D19" s="915" t="str">
        <f t="shared" si="0"/>
        <v xml:space="preserve">       "</v>
      </c>
      <c r="E19" s="916" t="str">
        <f t="shared" si="1"/>
        <v>DRIED</v>
      </c>
      <c r="F19" s="206"/>
      <c r="G19" s="843"/>
      <c r="H19" s="339"/>
      <c r="I19" s="843"/>
      <c r="J19" s="805"/>
      <c r="K19" s="806"/>
      <c r="L19" s="806"/>
      <c r="M19" s="1648" t="str">
        <f>"OR = "&amp;FIXED(L18/0.216,1)&amp;" tea bag(s) OR = "&amp;FIXED((L18/0.216)*S19,1)&amp;"g loose tea mashed in a teapot where 1 tea bag ="</f>
        <v>OR = 0.0 tea bag(s) OR = 0.0g loose tea mashed in a teapot where 1 tea bag =</v>
      </c>
      <c r="N19" s="1649"/>
      <c r="O19" s="1649"/>
      <c r="P19" s="1649"/>
      <c r="Q19" s="1649"/>
      <c r="R19" s="1649"/>
      <c r="S19" s="526">
        <v>3.2</v>
      </c>
      <c r="T19" s="843" t="s">
        <v>370</v>
      </c>
      <c r="U19" s="526">
        <f>S19</f>
        <v>3.2</v>
      </c>
      <c r="V19" s="1526" t="s">
        <v>371</v>
      </c>
      <c r="W19" s="1438"/>
      <c r="X19" s="21"/>
      <c r="Y19" s="22"/>
      <c r="Z19" s="65" t="s">
        <v>372</v>
      </c>
      <c r="AA19" s="65" t="s">
        <v>364</v>
      </c>
      <c r="AB19" s="507">
        <v>60</v>
      </c>
      <c r="AC19" s="507">
        <v>1</v>
      </c>
      <c r="AD19" s="42">
        <v>0.3</v>
      </c>
      <c r="AE19" s="508">
        <v>88</v>
      </c>
      <c r="AF19" s="42">
        <v>1.8</v>
      </c>
      <c r="AG19" s="507">
        <v>800</v>
      </c>
      <c r="AH19" s="507">
        <v>1400</v>
      </c>
      <c r="AI19" s="509">
        <v>0.18</v>
      </c>
      <c r="AJ19" s="509">
        <v>2.8</v>
      </c>
      <c r="AK19" s="478">
        <v>1.2</v>
      </c>
      <c r="AL19" s="509">
        <v>0.44</v>
      </c>
      <c r="AM19" s="508" t="s">
        <v>349</v>
      </c>
      <c r="AN19" s="819">
        <f t="shared" si="2"/>
        <v>0</v>
      </c>
      <c r="AO19" s="507">
        <f t="shared" si="3"/>
        <v>0</v>
      </c>
      <c r="AP19" s="820">
        <f t="shared" si="4"/>
        <v>0</v>
      </c>
      <c r="AQ19" s="820">
        <f t="shared" si="5"/>
        <v>0</v>
      </c>
      <c r="AR19" s="820">
        <f t="shared" si="6"/>
        <v>0</v>
      </c>
      <c r="AS19" s="820">
        <f t="shared" si="7"/>
        <v>0</v>
      </c>
      <c r="AT19" s="507">
        <f t="shared" si="8"/>
        <v>0</v>
      </c>
      <c r="AU19" s="507">
        <f t="shared" si="9"/>
        <v>0</v>
      </c>
      <c r="AV19" s="507">
        <f t="shared" si="10"/>
        <v>0</v>
      </c>
      <c r="AW19" s="507">
        <f t="shared" si="11"/>
        <v>0</v>
      </c>
      <c r="AX19" s="507">
        <f t="shared" si="12"/>
        <v>0</v>
      </c>
      <c r="AY19" s="507">
        <f t="shared" si="13"/>
        <v>0</v>
      </c>
      <c r="AZ19" s="508" t="s">
        <v>373</v>
      </c>
      <c r="BA19" s="821" t="s">
        <v>374</v>
      </c>
    </row>
    <row r="20" spans="1:53" ht="15" customHeight="1">
      <c r="A20" s="206">
        <v>5</v>
      </c>
      <c r="B20" s="206">
        <v>6</v>
      </c>
      <c r="C20" s="157">
        <v>0.13</v>
      </c>
      <c r="D20" s="915" t="str">
        <f t="shared" si="0"/>
        <v>BILBERRY</v>
      </c>
      <c r="E20" s="916" t="str">
        <f t="shared" si="1"/>
        <v>-</v>
      </c>
      <c r="F20" s="206"/>
      <c r="G20" s="843"/>
      <c r="H20" s="339"/>
      <c r="I20" s="843"/>
      <c r="J20" s="1575" t="s">
        <v>877</v>
      </c>
      <c r="K20" s="1576"/>
      <c r="L20" s="1576"/>
      <c r="M20" s="1576"/>
      <c r="N20" s="1576"/>
      <c r="O20" s="1576"/>
      <c r="P20" s="1576"/>
      <c r="Q20" s="1576"/>
      <c r="R20" s="1576"/>
      <c r="S20" s="1576"/>
      <c r="T20" s="1576"/>
      <c r="U20" s="1576"/>
      <c r="V20" s="1576"/>
      <c r="W20" s="1577"/>
      <c r="X20" s="21"/>
      <c r="Y20" s="22"/>
      <c r="Z20" s="65" t="s">
        <v>375</v>
      </c>
      <c r="AA20" s="65" t="s">
        <v>376</v>
      </c>
      <c r="AB20" s="507">
        <v>6</v>
      </c>
      <c r="AC20" s="507">
        <v>0.95</v>
      </c>
      <c r="AD20" s="507">
        <v>0.15</v>
      </c>
      <c r="AE20" s="43">
        <v>12</v>
      </c>
      <c r="AF20" s="42">
        <v>0.3</v>
      </c>
      <c r="AG20" s="507">
        <v>100</v>
      </c>
      <c r="AH20" s="42">
        <v>77</v>
      </c>
      <c r="AI20" s="478">
        <v>0.04</v>
      </c>
      <c r="AJ20" s="478">
        <v>0.42</v>
      </c>
      <c r="AK20" s="478"/>
      <c r="AL20" s="478">
        <v>0.05</v>
      </c>
      <c r="AM20" s="508" t="s">
        <v>377</v>
      </c>
      <c r="AN20" s="819">
        <f t="shared" si="2"/>
        <v>0</v>
      </c>
      <c r="AO20" s="507">
        <f t="shared" si="3"/>
        <v>0</v>
      </c>
      <c r="AP20" s="820">
        <f t="shared" si="4"/>
        <v>0</v>
      </c>
      <c r="AQ20" s="820">
        <f t="shared" si="5"/>
        <v>0</v>
      </c>
      <c r="AR20" s="820">
        <f t="shared" si="6"/>
        <v>0</v>
      </c>
      <c r="AS20" s="820">
        <f t="shared" si="7"/>
        <v>0</v>
      </c>
      <c r="AT20" s="507">
        <f t="shared" si="8"/>
        <v>0</v>
      </c>
      <c r="AU20" s="507">
        <f t="shared" si="9"/>
        <v>0</v>
      </c>
      <c r="AV20" s="507">
        <f t="shared" si="10"/>
        <v>0</v>
      </c>
      <c r="AW20" s="507">
        <f t="shared" si="11"/>
        <v>0</v>
      </c>
      <c r="AX20" s="507">
        <f t="shared" si="12"/>
        <v>0</v>
      </c>
      <c r="AY20" s="507">
        <f t="shared" si="13"/>
        <v>0</v>
      </c>
      <c r="AZ20" s="508" t="s">
        <v>378</v>
      </c>
      <c r="BA20" s="821" t="s">
        <v>379</v>
      </c>
    </row>
    <row r="21" spans="1:53" ht="15" customHeight="1">
      <c r="A21" s="206">
        <v>7</v>
      </c>
      <c r="B21" s="206">
        <v>4</v>
      </c>
      <c r="C21" s="157">
        <v>0.12</v>
      </c>
      <c r="D21" s="915" t="str">
        <f t="shared" si="0"/>
        <v>BLACKBERRY</v>
      </c>
      <c r="E21" s="916" t="str">
        <f t="shared" si="1"/>
        <v>-</v>
      </c>
      <c r="F21" s="206"/>
      <c r="G21" s="843"/>
      <c r="H21" s="339"/>
      <c r="I21" s="843"/>
      <c r="J21" s="1650" t="s">
        <v>380</v>
      </c>
      <c r="K21" s="1651"/>
      <c r="L21" s="1651"/>
      <c r="M21" s="1651"/>
      <c r="N21" s="1651"/>
      <c r="O21" s="1651"/>
      <c r="P21" s="1651"/>
      <c r="Q21" s="1651"/>
      <c r="R21" s="1651"/>
      <c r="S21" s="1651"/>
      <c r="T21" s="1651"/>
      <c r="U21" s="1651"/>
      <c r="V21" s="1651"/>
      <c r="W21" s="1652"/>
      <c r="X21" s="21"/>
      <c r="Y21" s="22"/>
      <c r="Z21" s="65" t="s">
        <v>381</v>
      </c>
      <c r="AA21" s="65" t="s">
        <v>376</v>
      </c>
      <c r="AB21" s="507">
        <v>5.5</v>
      </c>
      <c r="AC21" s="507">
        <v>1.1000000000000001</v>
      </c>
      <c r="AD21" s="507">
        <v>0.3</v>
      </c>
      <c r="AE21" s="508">
        <v>9</v>
      </c>
      <c r="AF21" s="507">
        <v>0.9</v>
      </c>
      <c r="AG21" s="507">
        <v>200</v>
      </c>
      <c r="AH21" s="507">
        <v>160</v>
      </c>
      <c r="AI21" s="509">
        <v>0.02</v>
      </c>
      <c r="AJ21" s="509">
        <v>0.65</v>
      </c>
      <c r="AK21" s="509"/>
      <c r="AL21" s="509">
        <v>0.03</v>
      </c>
      <c r="AM21" s="508" t="s">
        <v>382</v>
      </c>
      <c r="AN21" s="819">
        <f t="shared" si="2"/>
        <v>0</v>
      </c>
      <c r="AO21" s="507">
        <f t="shared" si="3"/>
        <v>0</v>
      </c>
      <c r="AP21" s="820">
        <f t="shared" si="4"/>
        <v>0</v>
      </c>
      <c r="AQ21" s="820">
        <f t="shared" si="5"/>
        <v>0</v>
      </c>
      <c r="AR21" s="820">
        <f t="shared" si="6"/>
        <v>0</v>
      </c>
      <c r="AS21" s="820">
        <f t="shared" si="7"/>
        <v>0</v>
      </c>
      <c r="AT21" s="507">
        <f t="shared" si="8"/>
        <v>0</v>
      </c>
      <c r="AU21" s="507">
        <f t="shared" si="9"/>
        <v>0</v>
      </c>
      <c r="AV21" s="507">
        <f t="shared" si="10"/>
        <v>0</v>
      </c>
      <c r="AW21" s="507">
        <f t="shared" si="11"/>
        <v>0</v>
      </c>
      <c r="AX21" s="507">
        <f t="shared" si="12"/>
        <v>0</v>
      </c>
      <c r="AY21" s="507">
        <f t="shared" si="13"/>
        <v>0</v>
      </c>
      <c r="AZ21" s="817"/>
      <c r="BA21" s="817"/>
    </row>
    <row r="22" spans="1:53">
      <c r="A22" s="206">
        <v>5</v>
      </c>
      <c r="B22" s="206">
        <v>12</v>
      </c>
      <c r="C22" s="157">
        <v>0.17</v>
      </c>
      <c r="D22" s="915" t="str">
        <f t="shared" si="0"/>
        <v>BLACKCURRANT</v>
      </c>
      <c r="E22" s="916" t="str">
        <f t="shared" si="1"/>
        <v>-</v>
      </c>
      <c r="F22" s="206"/>
      <c r="G22" s="843"/>
      <c r="H22" s="843"/>
      <c r="I22" s="843"/>
      <c r="J22" s="843"/>
      <c r="K22" s="843"/>
      <c r="L22" s="854"/>
      <c r="M22" s="843"/>
      <c r="N22" s="843"/>
      <c r="O22" s="843"/>
      <c r="P22" s="843"/>
      <c r="Q22" s="843"/>
      <c r="R22" s="843"/>
      <c r="S22" s="843"/>
      <c r="T22" s="843"/>
      <c r="U22" s="843"/>
      <c r="V22" s="843"/>
      <c r="W22" s="843"/>
      <c r="X22" s="843"/>
      <c r="Y22" s="22"/>
      <c r="Z22" s="65" t="s">
        <v>383</v>
      </c>
      <c r="AA22" s="65" t="s">
        <v>376</v>
      </c>
      <c r="AB22" s="507">
        <v>7</v>
      </c>
      <c r="AC22" s="507">
        <v>3.5</v>
      </c>
      <c r="AD22" s="507">
        <v>0.35</v>
      </c>
      <c r="AE22" s="508">
        <v>15</v>
      </c>
      <c r="AF22" s="507">
        <v>1.1000000000000001</v>
      </c>
      <c r="AG22" s="507">
        <v>150</v>
      </c>
      <c r="AH22" s="507">
        <v>320</v>
      </c>
      <c r="AI22" s="509">
        <v>0.05</v>
      </c>
      <c r="AJ22" s="509">
        <v>0.3</v>
      </c>
      <c r="AK22" s="509">
        <v>0.4</v>
      </c>
      <c r="AL22" s="509">
        <v>6.6000000000000003E-2</v>
      </c>
      <c r="AM22" s="508" t="s">
        <v>377</v>
      </c>
      <c r="AN22" s="819">
        <f t="shared" si="2"/>
        <v>0</v>
      </c>
      <c r="AO22" s="507">
        <f t="shared" si="3"/>
        <v>0</v>
      </c>
      <c r="AP22" s="820">
        <f t="shared" si="4"/>
        <v>0</v>
      </c>
      <c r="AQ22" s="820">
        <f t="shared" si="5"/>
        <v>0</v>
      </c>
      <c r="AR22" s="820">
        <f t="shared" si="6"/>
        <v>0</v>
      </c>
      <c r="AS22" s="820">
        <f t="shared" si="7"/>
        <v>0</v>
      </c>
      <c r="AT22" s="507">
        <f t="shared" si="8"/>
        <v>0</v>
      </c>
      <c r="AU22" s="507">
        <f t="shared" si="9"/>
        <v>0</v>
      </c>
      <c r="AV22" s="507">
        <f t="shared" si="10"/>
        <v>0</v>
      </c>
      <c r="AW22" s="507">
        <f t="shared" si="11"/>
        <v>0</v>
      </c>
      <c r="AX22" s="507">
        <f t="shared" si="12"/>
        <v>0</v>
      </c>
      <c r="AY22" s="507">
        <f t="shared" si="13"/>
        <v>0</v>
      </c>
      <c r="AZ22" s="817"/>
      <c r="BA22" s="817"/>
    </row>
    <row r="23" spans="1:53">
      <c r="A23" s="206">
        <v>7</v>
      </c>
      <c r="B23" s="206">
        <v>3</v>
      </c>
      <c r="C23" s="157">
        <v>0.14000000000000001</v>
      </c>
      <c r="D23" s="915" t="str">
        <f t="shared" si="0"/>
        <v>BLUEBERRY</v>
      </c>
      <c r="E23" s="916" t="str">
        <f t="shared" si="1"/>
        <v>-</v>
      </c>
      <c r="F23" s="206"/>
      <c r="G23" s="843"/>
      <c r="H23" s="339"/>
      <c r="I23" s="339"/>
      <c r="J23" s="339"/>
      <c r="K23" s="339"/>
      <c r="L23" s="339"/>
      <c r="M23" s="339"/>
      <c r="N23" s="339"/>
      <c r="O23" s="339"/>
      <c r="P23" s="339"/>
      <c r="Q23" s="339"/>
      <c r="R23" s="339"/>
      <c r="S23" s="339"/>
      <c r="T23" s="339"/>
      <c r="U23" s="339"/>
      <c r="V23" s="339"/>
      <c r="W23" s="370"/>
      <c r="X23" s="843"/>
      <c r="Y23" s="22"/>
      <c r="Z23" s="65" t="s">
        <v>384</v>
      </c>
      <c r="AA23" s="65" t="s">
        <v>376</v>
      </c>
      <c r="AB23" s="507">
        <v>10</v>
      </c>
      <c r="AC23" s="507">
        <v>0.3</v>
      </c>
      <c r="AD23" s="42">
        <v>0.1</v>
      </c>
      <c r="AE23" s="508">
        <v>15</v>
      </c>
      <c r="AF23" s="42">
        <v>0.3</v>
      </c>
      <c r="AG23" s="42">
        <v>100</v>
      </c>
      <c r="AH23" s="507">
        <v>77</v>
      </c>
      <c r="AI23" s="509">
        <v>0.04</v>
      </c>
      <c r="AJ23" s="509">
        <v>0.42</v>
      </c>
      <c r="AK23" s="509"/>
      <c r="AL23" s="509">
        <v>0.05</v>
      </c>
      <c r="AM23" s="508" t="s">
        <v>377</v>
      </c>
      <c r="AN23" s="819">
        <f t="shared" si="2"/>
        <v>0</v>
      </c>
      <c r="AO23" s="507">
        <f t="shared" si="3"/>
        <v>0</v>
      </c>
      <c r="AP23" s="820">
        <f t="shared" si="4"/>
        <v>0</v>
      </c>
      <c r="AQ23" s="820">
        <f t="shared" si="5"/>
        <v>0</v>
      </c>
      <c r="AR23" s="820">
        <f t="shared" si="6"/>
        <v>0</v>
      </c>
      <c r="AS23" s="820">
        <f t="shared" si="7"/>
        <v>0</v>
      </c>
      <c r="AT23" s="507">
        <f t="shared" si="8"/>
        <v>0</v>
      </c>
      <c r="AU23" s="507">
        <f t="shared" si="9"/>
        <v>0</v>
      </c>
      <c r="AV23" s="507">
        <f t="shared" si="10"/>
        <v>0</v>
      </c>
      <c r="AW23" s="507">
        <f t="shared" si="11"/>
        <v>0</v>
      </c>
      <c r="AX23" s="507">
        <f t="shared" si="12"/>
        <v>0</v>
      </c>
      <c r="AY23" s="507">
        <f t="shared" si="13"/>
        <v>0</v>
      </c>
      <c r="AZ23" s="817"/>
      <c r="BA23" s="817"/>
    </row>
    <row r="24" spans="1:53">
      <c r="A24" s="206">
        <v>7</v>
      </c>
      <c r="B24" s="206">
        <v>12</v>
      </c>
      <c r="C24" s="157">
        <v>0.15</v>
      </c>
      <c r="D24" s="915" t="str">
        <f t="shared" si="0"/>
        <v>CHERRY + pits</v>
      </c>
      <c r="E24" s="916" t="str">
        <f t="shared" si="1"/>
        <v>EATING</v>
      </c>
      <c r="F24" s="206"/>
      <c r="G24" s="843"/>
      <c r="H24" s="339"/>
      <c r="I24" s="865"/>
      <c r="J24" s="865"/>
      <c r="K24" s="865"/>
      <c r="L24" s="865"/>
      <c r="M24" s="865"/>
      <c r="N24" s="865"/>
      <c r="O24" s="865"/>
      <c r="P24" s="865"/>
      <c r="Q24" s="865"/>
      <c r="R24" s="865"/>
      <c r="S24" s="865"/>
      <c r="T24" s="865"/>
      <c r="U24" s="865"/>
      <c r="V24" s="865"/>
      <c r="W24" s="843"/>
      <c r="X24" s="843"/>
      <c r="Y24" s="22"/>
      <c r="Z24" s="65" t="s">
        <v>385</v>
      </c>
      <c r="AA24" s="65" t="s">
        <v>348</v>
      </c>
      <c r="AB24" s="507">
        <v>12.5</v>
      </c>
      <c r="AC24" s="507">
        <v>0.5</v>
      </c>
      <c r="AD24" s="507">
        <v>0.1</v>
      </c>
      <c r="AE24" s="508">
        <v>16</v>
      </c>
      <c r="AF24" s="507">
        <v>0.3</v>
      </c>
      <c r="AG24" s="507">
        <v>90</v>
      </c>
      <c r="AH24" s="507">
        <v>220</v>
      </c>
      <c r="AI24" s="509">
        <v>0.03</v>
      </c>
      <c r="AJ24" s="509">
        <v>0.04</v>
      </c>
      <c r="AK24" s="509">
        <v>0.309</v>
      </c>
      <c r="AL24" s="509">
        <v>0.04</v>
      </c>
      <c r="AM24" s="508" t="s">
        <v>349</v>
      </c>
      <c r="AN24" s="819">
        <f t="shared" si="2"/>
        <v>0</v>
      </c>
      <c r="AO24" s="507">
        <f t="shared" si="3"/>
        <v>0</v>
      </c>
      <c r="AP24" s="820">
        <f t="shared" si="4"/>
        <v>0</v>
      </c>
      <c r="AQ24" s="820">
        <f t="shared" si="5"/>
        <v>0</v>
      </c>
      <c r="AR24" s="820">
        <f t="shared" si="6"/>
        <v>0</v>
      </c>
      <c r="AS24" s="820">
        <f t="shared" si="7"/>
        <v>0</v>
      </c>
      <c r="AT24" s="507">
        <f t="shared" si="8"/>
        <v>0</v>
      </c>
      <c r="AU24" s="507">
        <f t="shared" si="9"/>
        <v>0</v>
      </c>
      <c r="AV24" s="507">
        <f t="shared" si="10"/>
        <v>0</v>
      </c>
      <c r="AW24" s="507">
        <f t="shared" si="11"/>
        <v>0</v>
      </c>
      <c r="AX24" s="507">
        <f t="shared" si="12"/>
        <v>0</v>
      </c>
      <c r="AY24" s="507">
        <f t="shared" si="13"/>
        <v>0</v>
      </c>
      <c r="AZ24" s="817"/>
      <c r="BA24" s="817"/>
    </row>
    <row r="25" spans="1:53">
      <c r="A25" s="206">
        <v>7</v>
      </c>
      <c r="B25" s="206">
        <v>12</v>
      </c>
      <c r="C25" s="157">
        <v>0.15</v>
      </c>
      <c r="D25" s="915" t="str">
        <f t="shared" si="0"/>
        <v xml:space="preserve">            "</v>
      </c>
      <c r="E25" s="916" t="str">
        <f t="shared" si="1"/>
        <v xml:space="preserve">SOUR </v>
      </c>
      <c r="F25" s="206"/>
      <c r="G25" s="843"/>
      <c r="H25" s="339"/>
      <c r="I25" s="865"/>
      <c r="J25" s="1417" t="s">
        <v>386</v>
      </c>
      <c r="K25" s="1418"/>
      <c r="L25" s="369">
        <f>5*E8*V27/L61</f>
        <v>2.34375</v>
      </c>
      <c r="M25" s="1551" t="str">
        <f>"g or "&amp;FIXED((E8*V27/L61),1)&amp;" level 5ml tsp (approx.)"</f>
        <v>g or 0.5 level 5ml tsp (approx.)</v>
      </c>
      <c r="N25" s="1551"/>
      <c r="O25" s="1552"/>
      <c r="P25" s="865"/>
      <c r="Q25" s="1653" t="s">
        <v>387</v>
      </c>
      <c r="R25" s="1654"/>
      <c r="S25" s="1654"/>
      <c r="T25" s="1654"/>
      <c r="U25" s="1654"/>
      <c r="V25" s="1655"/>
      <c r="W25" s="843"/>
      <c r="X25" s="843"/>
      <c r="Y25" s="22"/>
      <c r="Z25" s="65" t="s">
        <v>388</v>
      </c>
      <c r="AA25" s="65" t="s">
        <v>389</v>
      </c>
      <c r="AB25" s="507">
        <v>9</v>
      </c>
      <c r="AC25" s="507">
        <v>0.7</v>
      </c>
      <c r="AD25" s="507">
        <v>0.1</v>
      </c>
      <c r="AE25" s="508">
        <v>12</v>
      </c>
      <c r="AF25" s="42">
        <v>0.3</v>
      </c>
      <c r="AG25" s="507">
        <v>90</v>
      </c>
      <c r="AH25" s="507">
        <v>173</v>
      </c>
      <c r="AI25" s="509">
        <v>0.03</v>
      </c>
      <c r="AJ25" s="509">
        <v>0.15</v>
      </c>
      <c r="AK25" s="478">
        <v>0.309</v>
      </c>
      <c r="AL25" s="509">
        <v>0.05</v>
      </c>
      <c r="AM25" s="508" t="s">
        <v>349</v>
      </c>
      <c r="AN25" s="819">
        <f t="shared" si="2"/>
        <v>0</v>
      </c>
      <c r="AO25" s="507">
        <f t="shared" si="3"/>
        <v>0</v>
      </c>
      <c r="AP25" s="820">
        <f t="shared" si="4"/>
        <v>0</v>
      </c>
      <c r="AQ25" s="820">
        <f t="shared" si="5"/>
        <v>0</v>
      </c>
      <c r="AR25" s="820">
        <f t="shared" si="6"/>
        <v>0</v>
      </c>
      <c r="AS25" s="820">
        <f t="shared" si="7"/>
        <v>0</v>
      </c>
      <c r="AT25" s="507">
        <f t="shared" si="8"/>
        <v>0</v>
      </c>
      <c r="AU25" s="507">
        <f t="shared" si="9"/>
        <v>0</v>
      </c>
      <c r="AV25" s="507">
        <f t="shared" si="10"/>
        <v>0</v>
      </c>
      <c r="AW25" s="507">
        <f t="shared" si="11"/>
        <v>0</v>
      </c>
      <c r="AX25" s="507">
        <f t="shared" si="12"/>
        <v>0</v>
      </c>
      <c r="AY25" s="507">
        <f t="shared" si="13"/>
        <v>0</v>
      </c>
      <c r="AZ25" s="817"/>
      <c r="BA25" s="817"/>
    </row>
    <row r="26" spans="1:53">
      <c r="A26" s="206">
        <v>7</v>
      </c>
      <c r="B26" s="533">
        <v>9</v>
      </c>
      <c r="C26" s="157">
        <v>0.13</v>
      </c>
      <c r="D26" s="915" t="str">
        <f t="shared" si="0"/>
        <v>CRANBERRY</v>
      </c>
      <c r="E26" s="916" t="str">
        <f t="shared" si="1"/>
        <v>-</v>
      </c>
      <c r="F26" s="206"/>
      <c r="G26" s="843"/>
      <c r="H26" s="339"/>
      <c r="I26" s="865"/>
      <c r="J26" s="1408" t="s">
        <v>390</v>
      </c>
      <c r="K26" s="1409"/>
      <c r="L26" s="336">
        <f>4.5*E8/4.5</f>
        <v>4.5</v>
      </c>
      <c r="M26" s="1528" t="str">
        <f>"g or "&amp;FIXED((E8/4.5),1)&amp;" level 5ml tsp (approx.)"</f>
        <v>g or 1.0 level 5ml tsp (approx.)</v>
      </c>
      <c r="N26" s="1528"/>
      <c r="O26" s="1529"/>
      <c r="P26" s="854"/>
      <c r="Q26" s="70" t="s">
        <v>141</v>
      </c>
      <c r="R26" s="71" t="s">
        <v>391</v>
      </c>
      <c r="S26" s="72" t="s">
        <v>320</v>
      </c>
      <c r="T26" s="72" t="s">
        <v>321</v>
      </c>
      <c r="U26" s="72" t="s">
        <v>322</v>
      </c>
      <c r="V26" s="72" t="s">
        <v>323</v>
      </c>
      <c r="W26" s="843"/>
      <c r="X26" s="843"/>
      <c r="Y26" s="22"/>
      <c r="Z26" s="65" t="s">
        <v>392</v>
      </c>
      <c r="AA26" s="65" t="s">
        <v>376</v>
      </c>
      <c r="AB26" s="507">
        <v>3.8</v>
      </c>
      <c r="AC26" s="507">
        <v>3</v>
      </c>
      <c r="AD26" s="42">
        <v>0.15</v>
      </c>
      <c r="AE26" s="508">
        <v>12</v>
      </c>
      <c r="AF26" s="42">
        <v>0.8</v>
      </c>
      <c r="AG26" s="42">
        <v>90</v>
      </c>
      <c r="AH26" s="507">
        <v>85</v>
      </c>
      <c r="AI26" s="509">
        <v>0.01</v>
      </c>
      <c r="AJ26" s="509">
        <v>0.1</v>
      </c>
      <c r="AK26" s="509">
        <v>0.29499999999999998</v>
      </c>
      <c r="AL26" s="509">
        <v>0.06</v>
      </c>
      <c r="AM26" s="508"/>
      <c r="AN26" s="819">
        <f t="shared" si="2"/>
        <v>0</v>
      </c>
      <c r="AO26" s="507">
        <f t="shared" si="3"/>
        <v>0</v>
      </c>
      <c r="AP26" s="820">
        <f t="shared" si="4"/>
        <v>0</v>
      </c>
      <c r="AQ26" s="820">
        <f t="shared" si="5"/>
        <v>0</v>
      </c>
      <c r="AR26" s="820">
        <f t="shared" si="6"/>
        <v>0</v>
      </c>
      <c r="AS26" s="820">
        <f t="shared" si="7"/>
        <v>0</v>
      </c>
      <c r="AT26" s="507">
        <f t="shared" si="8"/>
        <v>0</v>
      </c>
      <c r="AU26" s="507">
        <f t="shared" si="9"/>
        <v>0</v>
      </c>
      <c r="AV26" s="507">
        <f t="shared" si="10"/>
        <v>0</v>
      </c>
      <c r="AW26" s="507">
        <f t="shared" si="11"/>
        <v>0</v>
      </c>
      <c r="AX26" s="507">
        <f t="shared" si="12"/>
        <v>0</v>
      </c>
      <c r="AY26" s="507">
        <f t="shared" si="13"/>
        <v>0</v>
      </c>
      <c r="AZ26" s="817"/>
      <c r="BA26" s="817"/>
    </row>
    <row r="27" spans="1:53">
      <c r="A27" s="206">
        <v>7</v>
      </c>
      <c r="B27" s="206">
        <v>12</v>
      </c>
      <c r="C27" s="157">
        <v>0.16</v>
      </c>
      <c r="D27" s="915" t="str">
        <f t="shared" si="0"/>
        <v>DAMSON</v>
      </c>
      <c r="E27" s="916" t="str">
        <f t="shared" si="1"/>
        <v>-</v>
      </c>
      <c r="F27" s="206"/>
      <c r="G27" s="843"/>
      <c r="H27" s="339"/>
      <c r="I27" s="865"/>
      <c r="J27" s="868"/>
      <c r="K27" s="868"/>
      <c r="L27" s="868"/>
      <c r="M27" s="868"/>
      <c r="N27" s="868"/>
      <c r="O27" s="868"/>
      <c r="P27" s="868"/>
      <c r="Q27" s="73">
        <f>SUM(F13:F131)</f>
        <v>3000</v>
      </c>
      <c r="R27" s="71">
        <f>L13+AO144</f>
        <v>957</v>
      </c>
      <c r="S27" s="74">
        <f>AP144-(L14*5/3)+L15</f>
        <v>21</v>
      </c>
      <c r="T27" s="75">
        <f>AQ144+L18</f>
        <v>2.2000000000000002</v>
      </c>
      <c r="U27" s="74">
        <f>AR144</f>
        <v>3.5700000000000109</v>
      </c>
      <c r="V27" s="75">
        <f>AS144</f>
        <v>0.5</v>
      </c>
      <c r="W27" s="843"/>
      <c r="X27" s="843"/>
      <c r="Y27" s="22"/>
      <c r="Z27" s="65" t="s">
        <v>393</v>
      </c>
      <c r="AA27" s="65" t="s">
        <v>376</v>
      </c>
      <c r="AB27" s="507">
        <v>9</v>
      </c>
      <c r="AC27" s="507">
        <v>2.2000000000000002</v>
      </c>
      <c r="AD27" s="42">
        <v>0.15</v>
      </c>
      <c r="AE27" s="42">
        <v>0.15</v>
      </c>
      <c r="AF27" s="507">
        <v>1.1000000000000001</v>
      </c>
      <c r="AG27" s="507">
        <v>80</v>
      </c>
      <c r="AH27" s="42">
        <v>155</v>
      </c>
      <c r="AI27" s="478">
        <v>2.8000000000000001E-2</v>
      </c>
      <c r="AJ27" s="478">
        <v>0.41699999999999998</v>
      </c>
      <c r="AK27" s="478">
        <v>0.13500000000000001</v>
      </c>
      <c r="AL27" s="478">
        <v>2.9000000000000001E-2</v>
      </c>
      <c r="AM27" s="508" t="s">
        <v>349</v>
      </c>
      <c r="AN27" s="819">
        <f t="shared" si="2"/>
        <v>0</v>
      </c>
      <c r="AO27" s="507">
        <f t="shared" si="3"/>
        <v>0</v>
      </c>
      <c r="AP27" s="820">
        <f t="shared" si="4"/>
        <v>0</v>
      </c>
      <c r="AQ27" s="820">
        <f t="shared" si="5"/>
        <v>0</v>
      </c>
      <c r="AR27" s="820">
        <f t="shared" si="6"/>
        <v>0</v>
      </c>
      <c r="AS27" s="820">
        <f t="shared" si="7"/>
        <v>0</v>
      </c>
      <c r="AT27" s="507">
        <f t="shared" si="8"/>
        <v>0</v>
      </c>
      <c r="AU27" s="507">
        <f t="shared" si="9"/>
        <v>0</v>
      </c>
      <c r="AV27" s="507">
        <f t="shared" si="10"/>
        <v>0</v>
      </c>
      <c r="AW27" s="507">
        <f t="shared" si="11"/>
        <v>0</v>
      </c>
      <c r="AX27" s="507">
        <f t="shared" si="12"/>
        <v>0</v>
      </c>
      <c r="AY27" s="507">
        <f t="shared" si="13"/>
        <v>0</v>
      </c>
      <c r="AZ27" s="817"/>
      <c r="BA27" s="817"/>
    </row>
    <row r="28" spans="1:53">
      <c r="A28" s="206">
        <v>7</v>
      </c>
      <c r="B28" s="206">
        <v>12</v>
      </c>
      <c r="C28" s="157">
        <v>0.85</v>
      </c>
      <c r="D28" s="915" t="str">
        <f t="shared" si="0"/>
        <v>DATE</v>
      </c>
      <c r="E28" s="916" t="str">
        <f t="shared" si="1"/>
        <v>-</v>
      </c>
      <c r="F28" s="206"/>
      <c r="G28" s="843"/>
      <c r="H28" s="339"/>
      <c r="I28" s="865"/>
      <c r="J28" s="868"/>
      <c r="K28" s="865"/>
      <c r="L28" s="865"/>
      <c r="M28" s="865"/>
      <c r="N28" s="865"/>
      <c r="O28" s="865"/>
      <c r="P28" s="865"/>
      <c r="Q28" s="868"/>
      <c r="R28" s="868"/>
      <c r="S28" s="868"/>
      <c r="T28" s="868"/>
      <c r="U28" s="868"/>
      <c r="V28" s="868"/>
      <c r="W28" s="843"/>
      <c r="X28" s="843"/>
      <c r="Y28" s="22"/>
      <c r="Z28" s="65" t="s">
        <v>394</v>
      </c>
      <c r="AA28" s="65" t="s">
        <v>376</v>
      </c>
      <c r="AB28" s="507">
        <v>64</v>
      </c>
      <c r="AC28" s="507">
        <v>1</v>
      </c>
      <c r="AD28" s="42">
        <v>0.15</v>
      </c>
      <c r="AE28" s="508">
        <v>75</v>
      </c>
      <c r="AF28" s="42">
        <v>0.8</v>
      </c>
      <c r="AG28" s="42">
        <v>90</v>
      </c>
      <c r="AH28" s="507">
        <v>656</v>
      </c>
      <c r="AI28" s="509">
        <v>0.05</v>
      </c>
      <c r="AJ28" s="509">
        <v>1.27</v>
      </c>
      <c r="AK28" s="509">
        <v>0.57999999999999996</v>
      </c>
      <c r="AL28" s="509">
        <v>0.17</v>
      </c>
      <c r="AM28" s="508" t="s">
        <v>349</v>
      </c>
      <c r="AN28" s="819">
        <f t="shared" si="2"/>
        <v>0</v>
      </c>
      <c r="AO28" s="507">
        <f t="shared" si="3"/>
        <v>0</v>
      </c>
      <c r="AP28" s="820">
        <f t="shared" si="4"/>
        <v>0</v>
      </c>
      <c r="AQ28" s="820">
        <f t="shared" si="5"/>
        <v>0</v>
      </c>
      <c r="AR28" s="820">
        <f t="shared" si="6"/>
        <v>0</v>
      </c>
      <c r="AS28" s="820">
        <f t="shared" si="7"/>
        <v>0</v>
      </c>
      <c r="AT28" s="507">
        <f t="shared" si="8"/>
        <v>0</v>
      </c>
      <c r="AU28" s="507">
        <f t="shared" si="9"/>
        <v>0</v>
      </c>
      <c r="AV28" s="507">
        <f t="shared" si="10"/>
        <v>0</v>
      </c>
      <c r="AW28" s="507">
        <f t="shared" si="11"/>
        <v>0</v>
      </c>
      <c r="AX28" s="507">
        <f t="shared" si="12"/>
        <v>0</v>
      </c>
      <c r="AY28" s="507">
        <f t="shared" si="13"/>
        <v>0</v>
      </c>
      <c r="AZ28" s="817"/>
      <c r="BA28" s="817"/>
    </row>
    <row r="29" spans="1:53">
      <c r="A29" s="206">
        <v>3</v>
      </c>
      <c r="B29" s="206">
        <v>6</v>
      </c>
      <c r="C29" s="157">
        <v>0.2</v>
      </c>
      <c r="D29" s="915" t="str">
        <f t="shared" si="0"/>
        <v>ELDERBERRY</v>
      </c>
      <c r="E29" s="916" t="str">
        <f t="shared" si="1"/>
        <v>-</v>
      </c>
      <c r="F29" s="206"/>
      <c r="G29" s="843"/>
      <c r="H29" s="339"/>
      <c r="I29" s="865"/>
      <c r="J29" s="868"/>
      <c r="K29" s="865"/>
      <c r="L29" s="843"/>
      <c r="M29" s="843"/>
      <c r="N29" s="843"/>
      <c r="O29" s="843"/>
      <c r="P29" s="843"/>
      <c r="Q29" s="843"/>
      <c r="R29" s="843"/>
      <c r="S29" s="843"/>
      <c r="T29" s="843"/>
      <c r="U29" s="843"/>
      <c r="V29" s="843"/>
      <c r="W29" s="843"/>
      <c r="X29" s="843"/>
      <c r="Y29" s="22"/>
      <c r="Z29" s="65" t="s">
        <v>395</v>
      </c>
      <c r="AA29" s="65" t="s">
        <v>376</v>
      </c>
      <c r="AB29" s="507">
        <v>11.5</v>
      </c>
      <c r="AC29" s="507">
        <v>1.05</v>
      </c>
      <c r="AD29" s="507">
        <v>0.55000000000000004</v>
      </c>
      <c r="AE29" s="508">
        <v>18</v>
      </c>
      <c r="AF29" s="42">
        <v>0.8</v>
      </c>
      <c r="AG29" s="507">
        <v>200</v>
      </c>
      <c r="AH29" s="507">
        <v>280</v>
      </c>
      <c r="AI29" s="509">
        <v>7.0000000000000007E-2</v>
      </c>
      <c r="AJ29" s="509">
        <v>0.5</v>
      </c>
      <c r="AK29" s="509">
        <v>0.14000000000000001</v>
      </c>
      <c r="AL29" s="509">
        <v>0.23</v>
      </c>
      <c r="AM29" s="508" t="s">
        <v>377</v>
      </c>
      <c r="AN29" s="819">
        <f t="shared" si="2"/>
        <v>0</v>
      </c>
      <c r="AO29" s="507">
        <f t="shared" si="3"/>
        <v>0</v>
      </c>
      <c r="AP29" s="820">
        <f t="shared" si="4"/>
        <v>0</v>
      </c>
      <c r="AQ29" s="820">
        <f t="shared" si="5"/>
        <v>0</v>
      </c>
      <c r="AR29" s="820">
        <f t="shared" si="6"/>
        <v>0</v>
      </c>
      <c r="AS29" s="820">
        <f t="shared" si="7"/>
        <v>0</v>
      </c>
      <c r="AT29" s="507">
        <f t="shared" si="8"/>
        <v>0</v>
      </c>
      <c r="AU29" s="507">
        <f t="shared" si="9"/>
        <v>0</v>
      </c>
      <c r="AV29" s="507">
        <f t="shared" si="10"/>
        <v>0</v>
      </c>
      <c r="AW29" s="507">
        <f t="shared" si="11"/>
        <v>0</v>
      </c>
      <c r="AX29" s="507">
        <f t="shared" si="12"/>
        <v>0</v>
      </c>
      <c r="AY29" s="507">
        <f t="shared" si="13"/>
        <v>0</v>
      </c>
      <c r="AZ29" s="817"/>
      <c r="BA29" s="817"/>
    </row>
    <row r="30" spans="1:53">
      <c r="A30" s="206" t="s">
        <v>366</v>
      </c>
      <c r="B30" s="206">
        <v>6</v>
      </c>
      <c r="C30" s="157">
        <v>0</v>
      </c>
      <c r="D30" s="915" t="str">
        <f t="shared" si="0"/>
        <v xml:space="preserve">            "</v>
      </c>
      <c r="E30" s="916" t="str">
        <f t="shared" si="1"/>
        <v>JUICE</v>
      </c>
      <c r="F30" s="206"/>
      <c r="G30" s="843"/>
      <c r="H30" s="339"/>
      <c r="I30" s="865"/>
      <c r="J30" s="868"/>
      <c r="K30" s="865"/>
      <c r="L30" s="1639" t="s">
        <v>396</v>
      </c>
      <c r="M30" s="1639"/>
      <c r="N30" s="1639"/>
      <c r="O30" s="1639"/>
      <c r="P30" s="1639"/>
      <c r="Q30" s="354" t="s">
        <v>324</v>
      </c>
      <c r="R30" s="354" t="s">
        <v>325</v>
      </c>
      <c r="S30" s="354" t="s">
        <v>326</v>
      </c>
      <c r="T30" s="354" t="s">
        <v>327</v>
      </c>
      <c r="U30" s="354" t="s">
        <v>328</v>
      </c>
      <c r="V30" s="354" t="s">
        <v>329</v>
      </c>
      <c r="W30" s="843"/>
      <c r="X30" s="843"/>
      <c r="Y30" s="22"/>
      <c r="Z30" s="65" t="s">
        <v>388</v>
      </c>
      <c r="AA30" s="65" t="s">
        <v>397</v>
      </c>
      <c r="AB30" s="42">
        <v>12</v>
      </c>
      <c r="AC30" s="42">
        <v>1</v>
      </c>
      <c r="AD30" s="42">
        <v>0.31</v>
      </c>
      <c r="AE30" s="43">
        <v>18.3</v>
      </c>
      <c r="AF30" s="42">
        <v>0.8</v>
      </c>
      <c r="AG30" s="42">
        <v>200</v>
      </c>
      <c r="AH30" s="42">
        <v>280</v>
      </c>
      <c r="AI30" s="478">
        <v>7.0000000000000007E-2</v>
      </c>
      <c r="AJ30" s="478">
        <v>0.5</v>
      </c>
      <c r="AK30" s="478">
        <v>0.14000000000000001</v>
      </c>
      <c r="AL30" s="478">
        <v>0.23</v>
      </c>
      <c r="AM30" s="508" t="s">
        <v>377</v>
      </c>
      <c r="AN30" s="819">
        <f t="shared" si="2"/>
        <v>0</v>
      </c>
      <c r="AO30" s="507">
        <f t="shared" si="3"/>
        <v>0</v>
      </c>
      <c r="AP30" s="820">
        <f t="shared" si="4"/>
        <v>0</v>
      </c>
      <c r="AQ30" s="820">
        <f t="shared" si="5"/>
        <v>0</v>
      </c>
      <c r="AR30" s="820">
        <f t="shared" si="6"/>
        <v>0</v>
      </c>
      <c r="AS30" s="820">
        <f t="shared" si="7"/>
        <v>0</v>
      </c>
      <c r="AT30" s="507">
        <f t="shared" si="8"/>
        <v>0</v>
      </c>
      <c r="AU30" s="507">
        <f t="shared" si="9"/>
        <v>0</v>
      </c>
      <c r="AV30" s="507">
        <f t="shared" si="10"/>
        <v>0</v>
      </c>
      <c r="AW30" s="507">
        <f t="shared" si="11"/>
        <v>0</v>
      </c>
      <c r="AX30" s="507">
        <f t="shared" si="12"/>
        <v>0</v>
      </c>
      <c r="AY30" s="507">
        <f t="shared" si="13"/>
        <v>0</v>
      </c>
      <c r="AZ30" s="817"/>
      <c r="BA30" s="817"/>
    </row>
    <row r="31" spans="1:53">
      <c r="A31" s="206">
        <v>7</v>
      </c>
      <c r="B31" s="206">
        <v>12</v>
      </c>
      <c r="C31" s="157">
        <v>0.21</v>
      </c>
      <c r="D31" s="915" t="str">
        <f t="shared" si="0"/>
        <v>FIGS</v>
      </c>
      <c r="E31" s="916" t="str">
        <f t="shared" si="1"/>
        <v>FLESH</v>
      </c>
      <c r="F31" s="206"/>
      <c r="G31" s="843"/>
      <c r="H31" s="339"/>
      <c r="I31" s="865"/>
      <c r="J31" s="868"/>
      <c r="K31" s="865"/>
      <c r="L31" s="1640" t="s">
        <v>398</v>
      </c>
      <c r="M31" s="1640"/>
      <c r="N31" s="1640"/>
      <c r="O31" s="1640"/>
      <c r="P31" s="1640"/>
      <c r="Q31" s="355">
        <f t="shared" ref="Q31:V31" si="14">AT144</f>
        <v>4460</v>
      </c>
      <c r="R31" s="355">
        <f t="shared" si="14"/>
        <v>3600</v>
      </c>
      <c r="S31" s="356">
        <f t="shared" si="14"/>
        <v>0.7</v>
      </c>
      <c r="T31" s="356">
        <f t="shared" si="14"/>
        <v>4.5999999999999996</v>
      </c>
      <c r="U31" s="356">
        <f t="shared" si="14"/>
        <v>1.46</v>
      </c>
      <c r="V31" s="356">
        <f t="shared" si="14"/>
        <v>1.2999999999999998</v>
      </c>
      <c r="W31" s="843"/>
      <c r="X31" s="843"/>
      <c r="Y31" s="22"/>
      <c r="Z31" s="65" t="s">
        <v>399</v>
      </c>
      <c r="AA31" s="65" t="s">
        <v>360</v>
      </c>
      <c r="AB31" s="507">
        <v>15</v>
      </c>
      <c r="AC31" s="507">
        <v>0.4</v>
      </c>
      <c r="AD31" s="42">
        <v>0.31</v>
      </c>
      <c r="AE31" s="508">
        <v>19</v>
      </c>
      <c r="AF31" s="42">
        <v>0.8</v>
      </c>
      <c r="AG31" s="42">
        <v>200</v>
      </c>
      <c r="AH31" s="507">
        <v>232</v>
      </c>
      <c r="AI31" s="509">
        <v>0.06</v>
      </c>
      <c r="AJ31" s="509">
        <v>0.4</v>
      </c>
      <c r="AK31" s="509">
        <v>0.3</v>
      </c>
      <c r="AL31" s="509">
        <v>0.113</v>
      </c>
      <c r="AM31" s="508" t="s">
        <v>349</v>
      </c>
      <c r="AN31" s="819">
        <f t="shared" si="2"/>
        <v>0</v>
      </c>
      <c r="AO31" s="507">
        <f t="shared" si="3"/>
        <v>0</v>
      </c>
      <c r="AP31" s="820">
        <f t="shared" si="4"/>
        <v>0</v>
      </c>
      <c r="AQ31" s="820">
        <f t="shared" si="5"/>
        <v>0</v>
      </c>
      <c r="AR31" s="820">
        <f t="shared" si="6"/>
        <v>0</v>
      </c>
      <c r="AS31" s="820">
        <f t="shared" si="7"/>
        <v>0</v>
      </c>
      <c r="AT31" s="507">
        <f t="shared" si="8"/>
        <v>0</v>
      </c>
      <c r="AU31" s="507">
        <f t="shared" si="9"/>
        <v>0</v>
      </c>
      <c r="AV31" s="507">
        <f t="shared" si="10"/>
        <v>0</v>
      </c>
      <c r="AW31" s="507">
        <f t="shared" si="11"/>
        <v>0</v>
      </c>
      <c r="AX31" s="507">
        <f t="shared" si="12"/>
        <v>0</v>
      </c>
      <c r="AY31" s="507">
        <f t="shared" si="13"/>
        <v>0</v>
      </c>
      <c r="AZ31" s="817"/>
      <c r="BA31" s="817"/>
    </row>
    <row r="32" spans="1:53">
      <c r="A32" s="206">
        <v>7</v>
      </c>
      <c r="B32" s="206">
        <v>12</v>
      </c>
      <c r="C32" s="157">
        <v>0.7</v>
      </c>
      <c r="D32" s="915" t="str">
        <f t="shared" si="0"/>
        <v xml:space="preserve">   "</v>
      </c>
      <c r="E32" s="916" t="str">
        <f t="shared" si="1"/>
        <v>DRIED</v>
      </c>
      <c r="F32" s="206"/>
      <c r="G32" s="843"/>
      <c r="H32" s="339"/>
      <c r="I32" s="865"/>
      <c r="J32" s="868"/>
      <c r="K32" s="865"/>
      <c r="L32" s="1640" t="str">
        <f>"Nutrient &amp; vitamins required for "&amp;FIXED(L61,2)&amp;" litres of must "</f>
        <v xml:space="preserve">Nutrient &amp; vitamins required for 4.80 litres of must </v>
      </c>
      <c r="M32" s="1640"/>
      <c r="N32" s="1640"/>
      <c r="O32" s="1640"/>
      <c r="P32" s="1640"/>
      <c r="Q32" s="71">
        <f t="shared" ref="Q32:V32" si="15">$L61*Q35</f>
        <v>720</v>
      </c>
      <c r="R32" s="71">
        <f t="shared" si="15"/>
        <v>2640</v>
      </c>
      <c r="S32" s="357">
        <f t="shared" si="15"/>
        <v>0.48</v>
      </c>
      <c r="T32" s="357">
        <f t="shared" si="15"/>
        <v>0.96</v>
      </c>
      <c r="U32" s="357">
        <f t="shared" si="15"/>
        <v>0.96</v>
      </c>
      <c r="V32" s="357">
        <f t="shared" si="15"/>
        <v>0.96</v>
      </c>
      <c r="W32" s="843"/>
      <c r="X32" s="843"/>
      <c r="Y32" s="22"/>
      <c r="Z32" s="65" t="s">
        <v>400</v>
      </c>
      <c r="AA32" s="65" t="s">
        <v>364</v>
      </c>
      <c r="AB32" s="507">
        <v>48</v>
      </c>
      <c r="AC32" s="507">
        <v>2.5</v>
      </c>
      <c r="AD32" s="42">
        <v>1</v>
      </c>
      <c r="AE32" s="508">
        <v>64</v>
      </c>
      <c r="AF32" s="42">
        <v>0.8</v>
      </c>
      <c r="AG32" s="42">
        <v>200</v>
      </c>
      <c r="AH32" s="507">
        <v>680</v>
      </c>
      <c r="AI32" s="509">
        <v>8.5000000000000006E-2</v>
      </c>
      <c r="AJ32" s="509">
        <v>0.61899999999999999</v>
      </c>
      <c r="AK32" s="509">
        <v>0.434</v>
      </c>
      <c r="AL32" s="509">
        <v>0</v>
      </c>
      <c r="AM32" s="508" t="s">
        <v>349</v>
      </c>
      <c r="AN32" s="819">
        <f t="shared" si="2"/>
        <v>0</v>
      </c>
      <c r="AO32" s="507">
        <f t="shared" si="3"/>
        <v>0</v>
      </c>
      <c r="AP32" s="820">
        <f t="shared" si="4"/>
        <v>0</v>
      </c>
      <c r="AQ32" s="820">
        <f t="shared" si="5"/>
        <v>0</v>
      </c>
      <c r="AR32" s="820">
        <f t="shared" si="6"/>
        <v>0</v>
      </c>
      <c r="AS32" s="820">
        <f t="shared" si="7"/>
        <v>0</v>
      </c>
      <c r="AT32" s="507">
        <f t="shared" si="8"/>
        <v>0</v>
      </c>
      <c r="AU32" s="507">
        <f t="shared" si="9"/>
        <v>0</v>
      </c>
      <c r="AV32" s="507">
        <f t="shared" si="10"/>
        <v>0</v>
      </c>
      <c r="AW32" s="507">
        <f t="shared" si="11"/>
        <v>0</v>
      </c>
      <c r="AX32" s="507">
        <f t="shared" si="12"/>
        <v>0</v>
      </c>
      <c r="AY32" s="507">
        <f t="shared" si="13"/>
        <v>0</v>
      </c>
      <c r="AZ32" s="817"/>
      <c r="BA32" s="817"/>
    </row>
    <row r="33" spans="1:53">
      <c r="A33" s="206">
        <v>7</v>
      </c>
      <c r="B33" s="206">
        <v>9</v>
      </c>
      <c r="C33" s="157">
        <v>0.22</v>
      </c>
      <c r="D33" s="915" t="str">
        <f t="shared" si="0"/>
        <v>GOOSEBERRY</v>
      </c>
      <c r="E33" s="916" t="str">
        <f t="shared" si="1"/>
        <v>EATING</v>
      </c>
      <c r="F33" s="206"/>
      <c r="G33" s="843"/>
      <c r="H33" s="339"/>
      <c r="I33" s="865"/>
      <c r="J33" s="868"/>
      <c r="K33" s="865"/>
      <c r="L33" s="358">
        <v>300</v>
      </c>
      <c r="M33" s="1641" t="str">
        <f>"g = "&amp;FIXED(L33/4.5)&amp;" level 5ml tsp nutrient giving a total of"</f>
        <v>g = 66.67 level 5ml tsp nutrient giving a total of</v>
      </c>
      <c r="N33" s="1641"/>
      <c r="O33" s="1641"/>
      <c r="P33" s="1641"/>
      <c r="Q33" s="359">
        <f>(Q31-Q32)+Q36*$L33</f>
        <v>66740</v>
      </c>
      <c r="R33" s="359">
        <f>(R31-R32)+R36*$L33</f>
        <v>36960</v>
      </c>
      <c r="S33" s="1047"/>
      <c r="T33" s="1047"/>
      <c r="U33" s="1047"/>
      <c r="V33" s="1047"/>
      <c r="W33" s="843"/>
      <c r="X33" s="843"/>
      <c r="Y33" s="22"/>
      <c r="Z33" s="65" t="s">
        <v>401</v>
      </c>
      <c r="AA33" s="65" t="s">
        <v>348</v>
      </c>
      <c r="AB33" s="507">
        <v>8.5</v>
      </c>
      <c r="AC33" s="507">
        <v>1.7</v>
      </c>
      <c r="AD33" s="507">
        <v>0.1</v>
      </c>
      <c r="AE33" s="43">
        <v>10</v>
      </c>
      <c r="AF33" s="507">
        <v>0.9</v>
      </c>
      <c r="AG33" s="507">
        <v>160</v>
      </c>
      <c r="AH33" s="507">
        <v>198</v>
      </c>
      <c r="AI33" s="509">
        <v>0.04</v>
      </c>
      <c r="AJ33" s="509">
        <v>0.3</v>
      </c>
      <c r="AK33" s="509">
        <v>0.28599999999999998</v>
      </c>
      <c r="AL33" s="509">
        <v>0</v>
      </c>
      <c r="AM33" s="508" t="s">
        <v>382</v>
      </c>
      <c r="AN33" s="819">
        <f t="shared" si="2"/>
        <v>0</v>
      </c>
      <c r="AO33" s="507">
        <f t="shared" si="3"/>
        <v>0</v>
      </c>
      <c r="AP33" s="820">
        <f t="shared" si="4"/>
        <v>0</v>
      </c>
      <c r="AQ33" s="820">
        <f t="shared" si="5"/>
        <v>0</v>
      </c>
      <c r="AR33" s="820">
        <f t="shared" si="6"/>
        <v>0</v>
      </c>
      <c r="AS33" s="820">
        <f t="shared" si="7"/>
        <v>0</v>
      </c>
      <c r="AT33" s="507">
        <f t="shared" si="8"/>
        <v>0</v>
      </c>
      <c r="AU33" s="507">
        <f t="shared" si="9"/>
        <v>0</v>
      </c>
      <c r="AV33" s="507">
        <f t="shared" si="10"/>
        <v>0</v>
      </c>
      <c r="AW33" s="507">
        <f t="shared" si="11"/>
        <v>0</v>
      </c>
      <c r="AX33" s="507">
        <f t="shared" si="12"/>
        <v>0</v>
      </c>
      <c r="AY33" s="507">
        <f t="shared" si="13"/>
        <v>0</v>
      </c>
      <c r="AZ33" s="817"/>
      <c r="BA33" s="817"/>
    </row>
    <row r="34" spans="1:53">
      <c r="A34" s="206">
        <v>7</v>
      </c>
      <c r="B34" s="206">
        <v>9</v>
      </c>
      <c r="C34" s="157">
        <v>0.22</v>
      </c>
      <c r="D34" s="915" t="str">
        <f t="shared" si="0"/>
        <v xml:space="preserve">             "</v>
      </c>
      <c r="E34" s="916" t="str">
        <f t="shared" si="1"/>
        <v>COOKING</v>
      </c>
      <c r="F34" s="206"/>
      <c r="G34" s="843"/>
      <c r="H34" s="339"/>
      <c r="I34" s="865"/>
      <c r="J34" s="865"/>
      <c r="K34" s="843"/>
      <c r="L34" s="358">
        <v>0</v>
      </c>
      <c r="M34" s="1641" t="s">
        <v>402</v>
      </c>
      <c r="N34" s="1641"/>
      <c r="O34" s="1641"/>
      <c r="P34" s="1641"/>
      <c r="Q34" s="1047"/>
      <c r="R34" s="1047"/>
      <c r="S34" s="360">
        <f>(S31-S32)+S36*$L34</f>
        <v>0.21999999999999997</v>
      </c>
      <c r="T34" s="360">
        <f>(T31-T32)+T36*$L34</f>
        <v>3.6399999999999997</v>
      </c>
      <c r="U34" s="360">
        <f>(U31-U32)+U36*$L34</f>
        <v>0.5</v>
      </c>
      <c r="V34" s="360">
        <f>(V31-V32)+V36*$L34</f>
        <v>0.33999999999999986</v>
      </c>
      <c r="W34" s="843"/>
      <c r="X34" s="843"/>
      <c r="Y34" s="22"/>
      <c r="Z34" s="65" t="s">
        <v>403</v>
      </c>
      <c r="AA34" s="65" t="s">
        <v>353</v>
      </c>
      <c r="AB34" s="507">
        <v>5</v>
      </c>
      <c r="AC34" s="507">
        <v>1.7</v>
      </c>
      <c r="AD34" s="507">
        <v>0.1</v>
      </c>
      <c r="AE34" s="508">
        <v>10</v>
      </c>
      <c r="AF34" s="507">
        <v>0.9</v>
      </c>
      <c r="AG34" s="507">
        <v>160</v>
      </c>
      <c r="AH34" s="507">
        <v>198</v>
      </c>
      <c r="AI34" s="509">
        <v>0.04</v>
      </c>
      <c r="AJ34" s="509">
        <v>0.3</v>
      </c>
      <c r="AK34" s="509">
        <v>0.28599999999999998</v>
      </c>
      <c r="AL34" s="509">
        <v>0</v>
      </c>
      <c r="AM34" s="508" t="s">
        <v>382</v>
      </c>
      <c r="AN34" s="819">
        <f t="shared" si="2"/>
        <v>0</v>
      </c>
      <c r="AO34" s="507">
        <f t="shared" si="3"/>
        <v>0</v>
      </c>
      <c r="AP34" s="820">
        <f t="shared" si="4"/>
        <v>0</v>
      </c>
      <c r="AQ34" s="820">
        <f t="shared" si="5"/>
        <v>0</v>
      </c>
      <c r="AR34" s="820">
        <f t="shared" si="6"/>
        <v>0</v>
      </c>
      <c r="AS34" s="820">
        <f t="shared" si="7"/>
        <v>0</v>
      </c>
      <c r="AT34" s="507">
        <f t="shared" si="8"/>
        <v>0</v>
      </c>
      <c r="AU34" s="507">
        <f t="shared" si="9"/>
        <v>0</v>
      </c>
      <c r="AV34" s="507">
        <f t="shared" si="10"/>
        <v>0</v>
      </c>
      <c r="AW34" s="507">
        <f t="shared" si="11"/>
        <v>0</v>
      </c>
      <c r="AX34" s="507">
        <f t="shared" si="12"/>
        <v>0</v>
      </c>
      <c r="AY34" s="507">
        <f t="shared" si="13"/>
        <v>0</v>
      </c>
      <c r="AZ34" s="817"/>
      <c r="BA34" s="817"/>
    </row>
    <row r="35" spans="1:53" hidden="1">
      <c r="A35" s="206"/>
      <c r="B35" s="206"/>
      <c r="C35" s="157"/>
      <c r="D35" s="915" t="s">
        <v>404</v>
      </c>
      <c r="E35" s="916"/>
      <c r="F35" s="206"/>
      <c r="G35" s="843"/>
      <c r="H35" s="339"/>
      <c r="I35" s="865"/>
      <c r="J35" s="865"/>
      <c r="K35" s="843"/>
      <c r="L35" s="361"/>
      <c r="M35" s="362"/>
      <c r="N35" s="362"/>
      <c r="O35" s="1642" t="s">
        <v>405</v>
      </c>
      <c r="P35" s="1642"/>
      <c r="Q35" s="70">
        <v>150</v>
      </c>
      <c r="R35" s="70">
        <v>550</v>
      </c>
      <c r="S35" s="70">
        <v>0.1</v>
      </c>
      <c r="T35" s="357">
        <v>0.2</v>
      </c>
      <c r="U35" s="357">
        <v>0.2</v>
      </c>
      <c r="V35" s="357">
        <v>0.2</v>
      </c>
      <c r="W35" s="843"/>
      <c r="X35" s="843"/>
      <c r="Y35" s="22"/>
      <c r="Z35" s="66"/>
      <c r="AA35" s="110"/>
      <c r="AB35" s="110"/>
      <c r="AC35" s="110"/>
      <c r="AD35" s="110"/>
      <c r="AE35" s="110"/>
      <c r="AF35" s="110"/>
      <c r="AG35" s="110"/>
      <c r="AH35" s="110"/>
      <c r="AI35" s="479"/>
      <c r="AJ35" s="479"/>
      <c r="AK35" s="479"/>
      <c r="AL35" s="479"/>
      <c r="AM35" s="642" t="s">
        <v>406</v>
      </c>
      <c r="AN35" s="819">
        <f t="shared" si="2"/>
        <v>0</v>
      </c>
      <c r="AO35" s="507">
        <f t="shared" si="3"/>
        <v>0</v>
      </c>
      <c r="AP35" s="820">
        <f t="shared" si="4"/>
        <v>0</v>
      </c>
      <c r="AQ35" s="820">
        <f t="shared" si="5"/>
        <v>0</v>
      </c>
      <c r="AR35" s="820">
        <f t="shared" si="6"/>
        <v>0</v>
      </c>
      <c r="AS35" s="820">
        <f t="shared" si="7"/>
        <v>0</v>
      </c>
      <c r="AT35" s="507">
        <f t="shared" si="8"/>
        <v>0</v>
      </c>
      <c r="AU35" s="507">
        <f t="shared" si="9"/>
        <v>0</v>
      </c>
      <c r="AV35" s="507">
        <f t="shared" si="10"/>
        <v>0</v>
      </c>
      <c r="AW35" s="507">
        <f t="shared" si="11"/>
        <v>0</v>
      </c>
      <c r="AX35" s="507">
        <f t="shared" si="12"/>
        <v>0</v>
      </c>
      <c r="AY35" s="507">
        <f t="shared" si="13"/>
        <v>0</v>
      </c>
      <c r="AZ35" s="817"/>
      <c r="BA35" s="817"/>
    </row>
    <row r="36" spans="1:53" hidden="1">
      <c r="A36" s="206"/>
      <c r="B36" s="206"/>
      <c r="C36" s="157"/>
      <c r="D36" s="915" t="s">
        <v>404</v>
      </c>
      <c r="E36" s="916"/>
      <c r="F36" s="206"/>
      <c r="G36" s="843"/>
      <c r="H36" s="339"/>
      <c r="I36" s="865"/>
      <c r="J36" s="865"/>
      <c r="K36" s="843"/>
      <c r="L36" s="362"/>
      <c r="M36" s="531"/>
      <c r="N36" s="362"/>
      <c r="O36" s="362"/>
      <c r="P36" s="362"/>
      <c r="Q36" s="363">
        <v>210</v>
      </c>
      <c r="R36" s="530">
        <v>120</v>
      </c>
      <c r="S36" s="364">
        <v>1.4</v>
      </c>
      <c r="T36" s="364">
        <v>18</v>
      </c>
      <c r="U36" s="364">
        <v>6</v>
      </c>
      <c r="V36" s="364">
        <v>2</v>
      </c>
      <c r="W36" s="843"/>
      <c r="X36" s="843"/>
      <c r="Y36" s="22"/>
      <c r="Z36" s="66"/>
      <c r="AA36" s="66"/>
      <c r="AB36" s="110"/>
      <c r="AC36" s="110"/>
      <c r="AD36" s="110"/>
      <c r="AE36" s="110"/>
      <c r="AF36" s="110"/>
      <c r="AG36" s="110"/>
      <c r="AH36" s="110"/>
      <c r="AI36" s="479"/>
      <c r="AJ36" s="479"/>
      <c r="AK36" s="479"/>
      <c r="AL36" s="479"/>
      <c r="AM36" s="642" t="s">
        <v>406</v>
      </c>
      <c r="AN36" s="819">
        <f t="shared" si="2"/>
        <v>0</v>
      </c>
      <c r="AO36" s="507">
        <f t="shared" si="3"/>
        <v>0</v>
      </c>
      <c r="AP36" s="820">
        <f t="shared" si="4"/>
        <v>0</v>
      </c>
      <c r="AQ36" s="820">
        <f t="shared" si="5"/>
        <v>0</v>
      </c>
      <c r="AR36" s="820">
        <f t="shared" si="6"/>
        <v>0</v>
      </c>
      <c r="AS36" s="820">
        <f t="shared" si="7"/>
        <v>0</v>
      </c>
      <c r="AT36" s="507">
        <f t="shared" si="8"/>
        <v>0</v>
      </c>
      <c r="AU36" s="507">
        <f t="shared" si="9"/>
        <v>0</v>
      </c>
      <c r="AV36" s="507">
        <f t="shared" si="10"/>
        <v>0</v>
      </c>
      <c r="AW36" s="507">
        <f t="shared" si="11"/>
        <v>0</v>
      </c>
      <c r="AX36" s="507">
        <f t="shared" si="12"/>
        <v>0</v>
      </c>
      <c r="AY36" s="507">
        <f t="shared" si="13"/>
        <v>0</v>
      </c>
      <c r="AZ36" s="817"/>
      <c r="BA36" s="817"/>
    </row>
    <row r="37" spans="1:53" hidden="1">
      <c r="A37" s="206"/>
      <c r="B37" s="206"/>
      <c r="C37" s="157"/>
      <c r="D37" s="915" t="s">
        <v>404</v>
      </c>
      <c r="E37" s="916"/>
      <c r="F37" s="206"/>
      <c r="G37" s="843"/>
      <c r="H37" s="339"/>
      <c r="I37" s="865"/>
      <c r="J37" s="865"/>
      <c r="K37" s="843"/>
      <c r="L37" s="362"/>
      <c r="M37" s="532"/>
      <c r="N37" s="362"/>
      <c r="O37" s="362"/>
      <c r="P37" s="361"/>
      <c r="Q37" s="363" t="s">
        <v>407</v>
      </c>
      <c r="R37" s="530" t="s">
        <v>408</v>
      </c>
      <c r="S37" s="363" t="s">
        <v>409</v>
      </c>
      <c r="T37" s="363" t="s">
        <v>409</v>
      </c>
      <c r="U37" s="363" t="s">
        <v>409</v>
      </c>
      <c r="V37" s="363" t="s">
        <v>409</v>
      </c>
      <c r="W37" s="843"/>
      <c r="X37" s="843"/>
      <c r="Y37" s="22"/>
      <c r="Z37" s="817"/>
      <c r="AA37" s="817"/>
      <c r="AB37" s="817"/>
      <c r="AC37" s="817"/>
      <c r="AD37" s="817"/>
      <c r="AE37" s="817"/>
      <c r="AF37" s="817"/>
      <c r="AG37" s="817"/>
      <c r="AH37" s="817"/>
      <c r="AI37" s="823"/>
      <c r="AJ37" s="823"/>
      <c r="AK37" s="823"/>
      <c r="AL37" s="823"/>
      <c r="AM37" s="642" t="s">
        <v>406</v>
      </c>
      <c r="AN37" s="819">
        <f t="shared" si="2"/>
        <v>0</v>
      </c>
      <c r="AO37" s="507">
        <f t="shared" si="3"/>
        <v>0</v>
      </c>
      <c r="AP37" s="820">
        <f t="shared" si="4"/>
        <v>0</v>
      </c>
      <c r="AQ37" s="820">
        <f t="shared" si="5"/>
        <v>0</v>
      </c>
      <c r="AR37" s="820">
        <f t="shared" si="6"/>
        <v>0</v>
      </c>
      <c r="AS37" s="820">
        <f t="shared" si="7"/>
        <v>0</v>
      </c>
      <c r="AT37" s="507">
        <f t="shared" si="8"/>
        <v>0</v>
      </c>
      <c r="AU37" s="507">
        <f t="shared" si="9"/>
        <v>0</v>
      </c>
      <c r="AV37" s="507">
        <f t="shared" si="10"/>
        <v>0</v>
      </c>
      <c r="AW37" s="507">
        <f t="shared" si="11"/>
        <v>0</v>
      </c>
      <c r="AX37" s="507">
        <f t="shared" si="12"/>
        <v>0</v>
      </c>
      <c r="AY37" s="507">
        <f t="shared" si="13"/>
        <v>0</v>
      </c>
      <c r="AZ37" s="817"/>
      <c r="BA37" s="817"/>
    </row>
    <row r="38" spans="1:53">
      <c r="A38" s="206">
        <v>7</v>
      </c>
      <c r="B38" s="534">
        <v>12</v>
      </c>
      <c r="C38" s="157">
        <v>0.2</v>
      </c>
      <c r="D38" s="915" t="str">
        <f t="shared" ref="D38:E41" si="16">Z38</f>
        <v>GRAPE</v>
      </c>
      <c r="E38" s="916" t="str">
        <f t="shared" si="16"/>
        <v>NO SKIN</v>
      </c>
      <c r="F38" s="206"/>
      <c r="G38" s="843"/>
      <c r="H38" s="339"/>
      <c r="I38" s="865"/>
      <c r="J38" s="338"/>
      <c r="K38" s="843"/>
      <c r="L38" s="1643" t="s">
        <v>410</v>
      </c>
      <c r="M38" s="1644"/>
      <c r="N38" s="1644"/>
      <c r="O38" s="1644"/>
      <c r="P38" s="1645"/>
      <c r="Q38" s="1622" t="s">
        <v>411</v>
      </c>
      <c r="R38" s="1623"/>
      <c r="S38" s="1622"/>
      <c r="T38" s="1622"/>
      <c r="U38" s="1622"/>
      <c r="V38" s="1622"/>
      <c r="W38" s="843"/>
      <c r="X38" s="843"/>
      <c r="Y38" s="22"/>
      <c r="Z38" s="65" t="s">
        <v>412</v>
      </c>
      <c r="AA38" s="65" t="s">
        <v>413</v>
      </c>
      <c r="AB38" s="507">
        <v>16.2</v>
      </c>
      <c r="AC38" s="507">
        <v>0.85</v>
      </c>
      <c r="AD38" s="507">
        <v>0.02</v>
      </c>
      <c r="AE38" s="508">
        <v>17</v>
      </c>
      <c r="AF38" s="42">
        <v>0.4</v>
      </c>
      <c r="AG38" s="507">
        <v>100</v>
      </c>
      <c r="AH38" s="507">
        <v>190</v>
      </c>
      <c r="AI38" s="509">
        <v>0.09</v>
      </c>
      <c r="AJ38" s="509">
        <v>0.3</v>
      </c>
      <c r="AK38" s="509">
        <v>2.4E-2</v>
      </c>
      <c r="AL38" s="509">
        <v>0.11</v>
      </c>
      <c r="AM38" s="508" t="s">
        <v>414</v>
      </c>
      <c r="AN38" s="819">
        <f t="shared" si="2"/>
        <v>0</v>
      </c>
      <c r="AO38" s="507">
        <f t="shared" si="3"/>
        <v>0</v>
      </c>
      <c r="AP38" s="820">
        <f t="shared" si="4"/>
        <v>0</v>
      </c>
      <c r="AQ38" s="820">
        <f t="shared" si="5"/>
        <v>0</v>
      </c>
      <c r="AR38" s="820">
        <f t="shared" si="6"/>
        <v>0</v>
      </c>
      <c r="AS38" s="820">
        <f t="shared" si="7"/>
        <v>0</v>
      </c>
      <c r="AT38" s="507">
        <f t="shared" si="8"/>
        <v>0</v>
      </c>
      <c r="AU38" s="507">
        <f t="shared" si="9"/>
        <v>0</v>
      </c>
      <c r="AV38" s="507">
        <f t="shared" si="10"/>
        <v>0</v>
      </c>
      <c r="AW38" s="507">
        <f t="shared" si="11"/>
        <v>0</v>
      </c>
      <c r="AX38" s="507">
        <f t="shared" si="12"/>
        <v>0</v>
      </c>
      <c r="AY38" s="507">
        <f t="shared" si="13"/>
        <v>0</v>
      </c>
      <c r="AZ38" s="817"/>
      <c r="BA38" s="817"/>
    </row>
    <row r="39" spans="1:53">
      <c r="A39" s="206">
        <v>7</v>
      </c>
      <c r="B39" s="534">
        <v>12</v>
      </c>
      <c r="C39" s="157">
        <v>0.22</v>
      </c>
      <c r="D39" s="915" t="str">
        <f t="shared" si="16"/>
        <v xml:space="preserve">      "</v>
      </c>
      <c r="E39" s="916" t="str">
        <f t="shared" si="16"/>
        <v>+ SKIN</v>
      </c>
      <c r="F39" s="206"/>
      <c r="G39" s="843"/>
      <c r="H39" s="339"/>
      <c r="I39" s="865"/>
      <c r="J39" s="865"/>
      <c r="K39" s="843"/>
      <c r="L39" s="868"/>
      <c r="M39" s="868"/>
      <c r="N39" s="868"/>
      <c r="O39" s="868"/>
      <c r="P39" s="868"/>
      <c r="Q39" s="868"/>
      <c r="R39" s="868"/>
      <c r="S39" s="868"/>
      <c r="T39" s="868"/>
      <c r="U39" s="868"/>
      <c r="V39" s="868"/>
      <c r="W39" s="865"/>
      <c r="X39" s="865"/>
      <c r="Y39" s="22"/>
      <c r="Z39" s="65" t="s">
        <v>352</v>
      </c>
      <c r="AA39" s="65" t="str">
        <f>"+ SKIN"</f>
        <v>+ SKIN</v>
      </c>
      <c r="AB39" s="507">
        <v>15.5</v>
      </c>
      <c r="AC39" s="507">
        <v>0.85</v>
      </c>
      <c r="AD39" s="507">
        <v>0.2</v>
      </c>
      <c r="AE39" s="508">
        <v>18.100000000000001</v>
      </c>
      <c r="AF39" s="507">
        <v>0.4</v>
      </c>
      <c r="AG39" s="507">
        <v>100</v>
      </c>
      <c r="AH39" s="507">
        <v>190</v>
      </c>
      <c r="AI39" s="509">
        <v>7.0000000000000007E-2</v>
      </c>
      <c r="AJ39" s="509">
        <v>0.19</v>
      </c>
      <c r="AK39" s="509">
        <v>0.05</v>
      </c>
      <c r="AL39" s="509">
        <v>0.09</v>
      </c>
      <c r="AM39" s="508" t="s">
        <v>414</v>
      </c>
      <c r="AN39" s="819">
        <f t="shared" si="2"/>
        <v>0</v>
      </c>
      <c r="AO39" s="507">
        <f t="shared" si="3"/>
        <v>0</v>
      </c>
      <c r="AP39" s="820">
        <f t="shared" si="4"/>
        <v>0</v>
      </c>
      <c r="AQ39" s="820">
        <f t="shared" si="5"/>
        <v>0</v>
      </c>
      <c r="AR39" s="820">
        <f t="shared" si="6"/>
        <v>0</v>
      </c>
      <c r="AS39" s="820">
        <f t="shared" si="7"/>
        <v>0</v>
      </c>
      <c r="AT39" s="507">
        <f t="shared" si="8"/>
        <v>0</v>
      </c>
      <c r="AU39" s="507">
        <f t="shared" si="9"/>
        <v>0</v>
      </c>
      <c r="AV39" s="507">
        <f t="shared" si="10"/>
        <v>0</v>
      </c>
      <c r="AW39" s="507">
        <f t="shared" si="11"/>
        <v>0</v>
      </c>
      <c r="AX39" s="507">
        <f t="shared" si="12"/>
        <v>0</v>
      </c>
      <c r="AY39" s="507">
        <f t="shared" si="13"/>
        <v>0</v>
      </c>
      <c r="AZ39" s="817"/>
      <c r="BA39" s="817"/>
    </row>
    <row r="40" spans="1:53">
      <c r="A40" s="206" t="s">
        <v>366</v>
      </c>
      <c r="B40" s="206">
        <v>3</v>
      </c>
      <c r="C40" s="157">
        <v>0</v>
      </c>
      <c r="D40" s="915" t="str">
        <f t="shared" si="16"/>
        <v>GRAPE JUICE  ml</v>
      </c>
      <c r="E40" s="916" t="str">
        <f t="shared" si="16"/>
        <v>WHITE</v>
      </c>
      <c r="F40" s="206"/>
      <c r="G40" s="843"/>
      <c r="H40" s="339"/>
      <c r="I40" s="865"/>
      <c r="J40" s="865"/>
      <c r="K40" s="865"/>
      <c r="L40" s="865"/>
      <c r="M40" s="865"/>
      <c r="N40" s="865"/>
      <c r="O40" s="865"/>
      <c r="P40" s="865"/>
      <c r="Q40" s="865"/>
      <c r="R40" s="865"/>
      <c r="S40" s="865"/>
      <c r="T40" s="865"/>
      <c r="U40" s="865"/>
      <c r="V40" s="865"/>
      <c r="W40" s="865"/>
      <c r="X40" s="865"/>
      <c r="Y40" s="22"/>
      <c r="Z40" s="219" t="s">
        <v>415</v>
      </c>
      <c r="AA40" s="65" t="s">
        <v>416</v>
      </c>
      <c r="AB40" s="507">
        <v>17</v>
      </c>
      <c r="AC40" s="507">
        <v>0.85</v>
      </c>
      <c r="AD40" s="507">
        <v>0.02</v>
      </c>
      <c r="AE40" s="43">
        <v>17.100000000000001</v>
      </c>
      <c r="AF40" s="507">
        <v>0.1</v>
      </c>
      <c r="AG40" s="42">
        <v>100</v>
      </c>
      <c r="AH40" s="507">
        <v>100</v>
      </c>
      <c r="AI40" s="509">
        <v>0.04</v>
      </c>
      <c r="AJ40" s="509">
        <v>0.2</v>
      </c>
      <c r="AK40" s="509">
        <v>0.01</v>
      </c>
      <c r="AL40" s="509">
        <v>0.09</v>
      </c>
      <c r="AM40" s="508" t="s">
        <v>414</v>
      </c>
      <c r="AN40" s="819">
        <f t="shared" si="2"/>
        <v>0</v>
      </c>
      <c r="AO40" s="507">
        <f t="shared" si="3"/>
        <v>0</v>
      </c>
      <c r="AP40" s="820">
        <f t="shared" si="4"/>
        <v>0</v>
      </c>
      <c r="AQ40" s="820">
        <f t="shared" si="5"/>
        <v>0</v>
      </c>
      <c r="AR40" s="820">
        <f t="shared" si="6"/>
        <v>0</v>
      </c>
      <c r="AS40" s="820">
        <f t="shared" si="7"/>
        <v>0</v>
      </c>
      <c r="AT40" s="507">
        <f t="shared" si="8"/>
        <v>0</v>
      </c>
      <c r="AU40" s="507">
        <f t="shared" si="9"/>
        <v>0</v>
      </c>
      <c r="AV40" s="507">
        <f t="shared" si="10"/>
        <v>0</v>
      </c>
      <c r="AW40" s="507">
        <f t="shared" si="11"/>
        <v>0</v>
      </c>
      <c r="AX40" s="507">
        <f t="shared" si="12"/>
        <v>0</v>
      </c>
      <c r="AY40" s="507">
        <f t="shared" si="13"/>
        <v>0</v>
      </c>
      <c r="AZ40" s="817"/>
      <c r="BA40" s="817"/>
    </row>
    <row r="41" spans="1:53">
      <c r="A41" s="206" t="s">
        <v>366</v>
      </c>
      <c r="B41" s="206">
        <v>3</v>
      </c>
      <c r="C41" s="157">
        <v>0</v>
      </c>
      <c r="D41" s="915" t="str">
        <f t="shared" si="16"/>
        <v xml:space="preserve">                 "         ml</v>
      </c>
      <c r="E41" s="916" t="str">
        <f t="shared" si="16"/>
        <v>RED</v>
      </c>
      <c r="F41" s="206"/>
      <c r="G41" s="843"/>
      <c r="H41" s="339"/>
      <c r="I41" s="1624" t="s">
        <v>417</v>
      </c>
      <c r="J41" s="1624"/>
      <c r="K41" s="1624"/>
      <c r="L41" s="409"/>
      <c r="M41" s="266"/>
      <c r="N41" s="266"/>
      <c r="O41" s="266"/>
      <c r="P41" s="266"/>
      <c r="Q41" s="266"/>
      <c r="R41" s="266"/>
      <c r="S41" s="266"/>
      <c r="T41" s="266"/>
      <c r="U41" s="266"/>
      <c r="V41" s="266"/>
      <c r="W41" s="266"/>
      <c r="X41" s="4"/>
      <c r="Y41" s="60"/>
      <c r="Z41" s="220" t="s">
        <v>418</v>
      </c>
      <c r="AA41" s="65" t="s">
        <v>419</v>
      </c>
      <c r="AB41" s="507">
        <v>17</v>
      </c>
      <c r="AC41" s="507">
        <v>0.85</v>
      </c>
      <c r="AD41" s="507">
        <v>0.2</v>
      </c>
      <c r="AE41" s="43">
        <v>17.100000000000001</v>
      </c>
      <c r="AF41" s="507">
        <v>0.1</v>
      </c>
      <c r="AG41" s="42">
        <v>100</v>
      </c>
      <c r="AH41" s="507">
        <v>100</v>
      </c>
      <c r="AI41" s="509">
        <v>0.04</v>
      </c>
      <c r="AJ41" s="509">
        <v>0.2</v>
      </c>
      <c r="AK41" s="509">
        <v>0.01</v>
      </c>
      <c r="AL41" s="509">
        <v>0.09</v>
      </c>
      <c r="AM41" s="508" t="s">
        <v>414</v>
      </c>
      <c r="AN41" s="819">
        <f t="shared" si="2"/>
        <v>0</v>
      </c>
      <c r="AO41" s="507">
        <f t="shared" si="3"/>
        <v>0</v>
      </c>
      <c r="AP41" s="820">
        <f t="shared" si="4"/>
        <v>0</v>
      </c>
      <c r="AQ41" s="820">
        <f t="shared" si="5"/>
        <v>0</v>
      </c>
      <c r="AR41" s="820">
        <f t="shared" si="6"/>
        <v>0</v>
      </c>
      <c r="AS41" s="820">
        <f t="shared" si="7"/>
        <v>0</v>
      </c>
      <c r="AT41" s="507">
        <f t="shared" si="8"/>
        <v>0</v>
      </c>
      <c r="AU41" s="507">
        <f t="shared" si="9"/>
        <v>0</v>
      </c>
      <c r="AV41" s="507">
        <f t="shared" si="10"/>
        <v>0</v>
      </c>
      <c r="AW41" s="507">
        <f t="shared" si="11"/>
        <v>0</v>
      </c>
      <c r="AX41" s="507">
        <f t="shared" si="12"/>
        <v>0</v>
      </c>
      <c r="AY41" s="507">
        <f t="shared" si="13"/>
        <v>0</v>
      </c>
      <c r="AZ41" s="817"/>
      <c r="BA41" s="817"/>
    </row>
    <row r="42" spans="1:53">
      <c r="A42" s="206" t="s">
        <v>366</v>
      </c>
      <c r="B42" s="206">
        <v>3</v>
      </c>
      <c r="C42" s="157">
        <v>0</v>
      </c>
      <c r="D42" s="924" t="str">
        <f>Z42&amp;" (equiv. to "&amp;1*FIXED((F42/1.25),0)&amp;"ml)"</f>
        <v>GRAPE CONC. g  (equiv. to 0ml)</v>
      </c>
      <c r="E42" s="916" t="str">
        <f t="shared" ref="E42:E79" si="17">AA42</f>
        <v>WHITE</v>
      </c>
      <c r="F42" s="206"/>
      <c r="G42" s="843"/>
      <c r="H42" s="339"/>
      <c r="I42" s="1625" t="s">
        <v>420</v>
      </c>
      <c r="J42" s="1626"/>
      <c r="K42" s="1626"/>
      <c r="L42" s="1626"/>
      <c r="M42" s="1626"/>
      <c r="N42" s="1626"/>
      <c r="O42" s="1626"/>
      <c r="P42" s="1626"/>
      <c r="Q42" s="1626"/>
      <c r="R42" s="1626"/>
      <c r="S42" s="1626"/>
      <c r="T42" s="1626"/>
      <c r="U42" s="1626"/>
      <c r="V42" s="1627"/>
      <c r="W42" s="1628"/>
      <c r="X42" s="133"/>
      <c r="Y42" s="22"/>
      <c r="Z42" s="219" t="s">
        <v>421</v>
      </c>
      <c r="AA42" s="65" t="s">
        <v>416</v>
      </c>
      <c r="AB42" s="507">
        <v>65</v>
      </c>
      <c r="AC42" s="507">
        <v>2</v>
      </c>
      <c r="AD42" s="507">
        <v>0.06</v>
      </c>
      <c r="AE42" s="43">
        <v>70</v>
      </c>
      <c r="AF42" s="42">
        <v>0.4</v>
      </c>
      <c r="AG42" s="507">
        <v>400</v>
      </c>
      <c r="AH42" s="507">
        <v>400</v>
      </c>
      <c r="AI42" s="478">
        <v>0.16</v>
      </c>
      <c r="AJ42" s="478">
        <v>0.8</v>
      </c>
      <c r="AK42" s="478">
        <v>0.08</v>
      </c>
      <c r="AL42" s="478">
        <v>0.36</v>
      </c>
      <c r="AM42" s="508" t="s">
        <v>414</v>
      </c>
      <c r="AN42" s="819">
        <f t="shared" si="2"/>
        <v>0</v>
      </c>
      <c r="AO42" s="507">
        <f t="shared" si="3"/>
        <v>0</v>
      </c>
      <c r="AP42" s="820">
        <f t="shared" si="4"/>
        <v>0</v>
      </c>
      <c r="AQ42" s="820">
        <f t="shared" si="5"/>
        <v>0</v>
      </c>
      <c r="AR42" s="820">
        <f t="shared" si="6"/>
        <v>0</v>
      </c>
      <c r="AS42" s="820">
        <f t="shared" si="7"/>
        <v>0</v>
      </c>
      <c r="AT42" s="507">
        <f t="shared" si="8"/>
        <v>0</v>
      </c>
      <c r="AU42" s="507">
        <f t="shared" si="9"/>
        <v>0</v>
      </c>
      <c r="AV42" s="507">
        <f t="shared" si="10"/>
        <v>0</v>
      </c>
      <c r="AW42" s="507">
        <f t="shared" si="11"/>
        <v>0</v>
      </c>
      <c r="AX42" s="507">
        <f t="shared" si="12"/>
        <v>0</v>
      </c>
      <c r="AY42" s="507">
        <f t="shared" si="13"/>
        <v>0</v>
      </c>
      <c r="AZ42" s="817"/>
      <c r="BA42" s="817"/>
    </row>
    <row r="43" spans="1:53">
      <c r="A43" s="206" t="s">
        <v>366</v>
      </c>
      <c r="B43" s="206">
        <v>3</v>
      </c>
      <c r="C43" s="157">
        <v>0</v>
      </c>
      <c r="D43" s="924" t="str">
        <f>Z43&amp;" (equiv. to "&amp;1*FIXED((F43/1.25),0)&amp;"ml)"</f>
        <v xml:space="preserve">               "           g  (equiv. to 0ml)</v>
      </c>
      <c r="E43" s="916" t="str">
        <f t="shared" si="17"/>
        <v>RED</v>
      </c>
      <c r="F43" s="206"/>
      <c r="G43" s="843"/>
      <c r="H43" s="339"/>
      <c r="I43" s="1322" t="s">
        <v>422</v>
      </c>
      <c r="J43" s="1629"/>
      <c r="K43" s="1630"/>
      <c r="L43" s="523">
        <v>0</v>
      </c>
      <c r="M43" s="1638" t="str">
        <f>"g for an estimated gravity increase of "&amp;FIXED((L43*0.375/E8),1)&amp;" ("&amp;IF(E7&gt;1020,"Dessert ̸ 6)",IF(E7&gt;1015,"Sweet ̸ 5)",IF(E7&gt;1010,"Medium Sweet ̸ 4)",IF(E7&gt;1005,"Medium ̸ 3)",IF(E7&gt;998,"Medium dry ̸ 2)",IF(E7&gt;0,"Dry ̸ 1)"))))))&amp;". This cell is nominally set as blank or '0' (for a dry wine)."</f>
        <v>g for an estimated gravity increase of 0.0 (Dry ̸ 1). This cell is nominally set as blank or '0' (for a dry wine).</v>
      </c>
      <c r="N43" s="1638"/>
      <c r="O43" s="1638"/>
      <c r="P43" s="1638"/>
      <c r="Q43" s="1638"/>
      <c r="R43" s="1638"/>
      <c r="S43" s="1638"/>
      <c r="T43" s="1638"/>
      <c r="U43" s="1638"/>
      <c r="V43" s="1638"/>
      <c r="W43" s="636">
        <f>(L43*0.375/E8)</f>
        <v>0</v>
      </c>
      <c r="X43" s="133"/>
      <c r="Y43" s="20"/>
      <c r="Z43" s="219" t="s">
        <v>423</v>
      </c>
      <c r="AA43" s="65" t="s">
        <v>419</v>
      </c>
      <c r="AB43" s="507">
        <v>65</v>
      </c>
      <c r="AC43" s="507">
        <v>2</v>
      </c>
      <c r="AD43" s="507">
        <v>0.6</v>
      </c>
      <c r="AE43" s="43">
        <v>70</v>
      </c>
      <c r="AF43" s="42">
        <v>0.4</v>
      </c>
      <c r="AG43" s="507">
        <v>400</v>
      </c>
      <c r="AH43" s="507">
        <v>400</v>
      </c>
      <c r="AI43" s="478">
        <v>0.16</v>
      </c>
      <c r="AJ43" s="478">
        <v>0.8</v>
      </c>
      <c r="AK43" s="478">
        <v>0.08</v>
      </c>
      <c r="AL43" s="478">
        <v>0.36</v>
      </c>
      <c r="AM43" s="508" t="s">
        <v>414</v>
      </c>
      <c r="AN43" s="819">
        <f t="shared" si="2"/>
        <v>0</v>
      </c>
      <c r="AO43" s="507">
        <f t="shared" si="3"/>
        <v>0</v>
      </c>
      <c r="AP43" s="820">
        <f t="shared" si="4"/>
        <v>0</v>
      </c>
      <c r="AQ43" s="820">
        <f t="shared" si="5"/>
        <v>0</v>
      </c>
      <c r="AR43" s="820">
        <f t="shared" si="6"/>
        <v>0</v>
      </c>
      <c r="AS43" s="820">
        <f t="shared" si="7"/>
        <v>0</v>
      </c>
      <c r="AT43" s="507">
        <f t="shared" si="8"/>
        <v>0</v>
      </c>
      <c r="AU43" s="507">
        <f t="shared" si="9"/>
        <v>0</v>
      </c>
      <c r="AV43" s="507">
        <f t="shared" si="10"/>
        <v>0</v>
      </c>
      <c r="AW43" s="507">
        <f t="shared" si="11"/>
        <v>0</v>
      </c>
      <c r="AX43" s="507">
        <f t="shared" si="12"/>
        <v>0</v>
      </c>
      <c r="AY43" s="507">
        <f t="shared" si="13"/>
        <v>0</v>
      </c>
      <c r="AZ43" s="817"/>
      <c r="BA43" s="817"/>
    </row>
    <row r="44" spans="1:53">
      <c r="A44" s="206" t="s">
        <v>366</v>
      </c>
      <c r="B44" s="206">
        <v>3</v>
      </c>
      <c r="C44" s="157">
        <v>0</v>
      </c>
      <c r="D44" s="924" t="str">
        <f>Z44&amp;"  (equiv. to "&amp;1*FIXED((F44*1.25),0)&amp;"g)"</f>
        <v xml:space="preserve">               "           ml  (equiv. to 0g)</v>
      </c>
      <c r="E44" s="916" t="str">
        <f t="shared" si="17"/>
        <v>WHITE</v>
      </c>
      <c r="F44" s="206"/>
      <c r="G44" s="843"/>
      <c r="H44" s="339"/>
      <c r="I44" s="1631" t="str">
        <f>"Assume "&amp;L43&amp;"g sugar makes approx."</f>
        <v>Assume 0g sugar makes approx.</v>
      </c>
      <c r="J44" s="1632"/>
      <c r="K44" s="1633"/>
      <c r="L44" s="195">
        <f>(375*L43)/(300)</f>
        <v>0</v>
      </c>
      <c r="M44" s="1632" t="str">
        <f>"ml of syrup, S.G. 1300, by adding approx. "&amp;FIXED((L44-0.58*L43),-1)&amp;"ml. of water."</f>
        <v>ml of syrup, S.G. 1300, by adding approx. 0ml. of water.</v>
      </c>
      <c r="N44" s="1632"/>
      <c r="O44" s="1632"/>
      <c r="P44" s="1632"/>
      <c r="Q44" s="1632"/>
      <c r="R44" s="1632"/>
      <c r="S44" s="1632"/>
      <c r="T44" s="1632"/>
      <c r="U44" s="1632"/>
      <c r="V44" s="1632"/>
      <c r="W44" s="1634"/>
      <c r="X44" s="133"/>
      <c r="Y44" s="22"/>
      <c r="Z44" s="218" t="s">
        <v>424</v>
      </c>
      <c r="AA44" s="65" t="s">
        <v>416</v>
      </c>
      <c r="AB44" s="507">
        <f t="shared" ref="AB44:AE45" si="18">AB42*1.25</f>
        <v>81.25</v>
      </c>
      <c r="AC44" s="507">
        <f t="shared" si="18"/>
        <v>2.5</v>
      </c>
      <c r="AD44" s="507">
        <f t="shared" si="18"/>
        <v>7.4999999999999997E-2</v>
      </c>
      <c r="AE44" s="42">
        <f t="shared" si="18"/>
        <v>87.5</v>
      </c>
      <c r="AF44" s="42">
        <f t="shared" ref="AF44:AH45" si="19">1.25*AF43</f>
        <v>0.5</v>
      </c>
      <c r="AG44" s="42">
        <f t="shared" si="19"/>
        <v>500</v>
      </c>
      <c r="AH44" s="42">
        <f t="shared" si="19"/>
        <v>500</v>
      </c>
      <c r="AI44" s="478">
        <v>0.16</v>
      </c>
      <c r="AJ44" s="478">
        <v>0.8</v>
      </c>
      <c r="AK44" s="478">
        <v>0.08</v>
      </c>
      <c r="AL44" s="478">
        <v>0.36</v>
      </c>
      <c r="AM44" s="508" t="s">
        <v>414</v>
      </c>
      <c r="AN44" s="819">
        <f t="shared" si="2"/>
        <v>0</v>
      </c>
      <c r="AO44" s="507">
        <f t="shared" si="3"/>
        <v>0</v>
      </c>
      <c r="AP44" s="820">
        <f t="shared" si="4"/>
        <v>0</v>
      </c>
      <c r="AQ44" s="820">
        <f t="shared" si="5"/>
        <v>0</v>
      </c>
      <c r="AR44" s="820">
        <f t="shared" si="6"/>
        <v>0</v>
      </c>
      <c r="AS44" s="820">
        <f t="shared" si="7"/>
        <v>0</v>
      </c>
      <c r="AT44" s="507">
        <f t="shared" si="8"/>
        <v>0</v>
      </c>
      <c r="AU44" s="507">
        <f t="shared" si="9"/>
        <v>0</v>
      </c>
      <c r="AV44" s="507">
        <f t="shared" si="10"/>
        <v>0</v>
      </c>
      <c r="AW44" s="507">
        <f t="shared" si="11"/>
        <v>0</v>
      </c>
      <c r="AX44" s="507">
        <f t="shared" si="12"/>
        <v>0</v>
      </c>
      <c r="AY44" s="507">
        <f t="shared" si="13"/>
        <v>0</v>
      </c>
      <c r="AZ44" s="817"/>
      <c r="BA44" s="817"/>
    </row>
    <row r="45" spans="1:53">
      <c r="A45" s="206" t="s">
        <v>366</v>
      </c>
      <c r="B45" s="206">
        <v>3</v>
      </c>
      <c r="C45" s="157">
        <v>0</v>
      </c>
      <c r="D45" s="924" t="str">
        <f>Z45&amp;"  (equiv. to "&amp;1*FIXED((F45*1.25),0)&amp;"g)"</f>
        <v xml:space="preserve">               "           ml  (equiv. to 0g)</v>
      </c>
      <c r="E45" s="916" t="str">
        <f t="shared" si="17"/>
        <v>RED</v>
      </c>
      <c r="F45" s="206"/>
      <c r="G45" s="843"/>
      <c r="H45" s="339"/>
      <c r="I45" s="1635" t="s">
        <v>425</v>
      </c>
      <c r="J45" s="1636"/>
      <c r="K45" s="1637"/>
      <c r="L45" s="1613" t="s">
        <v>426</v>
      </c>
      <c r="M45" s="1614"/>
      <c r="N45" s="1613" t="s">
        <v>427</v>
      </c>
      <c r="O45" s="1614"/>
      <c r="P45" s="1613" t="s">
        <v>428</v>
      </c>
      <c r="Q45" s="1614"/>
      <c r="R45" s="1613" t="s">
        <v>429</v>
      </c>
      <c r="S45" s="1614"/>
      <c r="T45" s="1613" t="s">
        <v>430</v>
      </c>
      <c r="U45" s="1614"/>
      <c r="V45" s="1613" t="s">
        <v>431</v>
      </c>
      <c r="W45" s="1614"/>
      <c r="X45" s="133"/>
      <c r="Y45" s="22"/>
      <c r="Z45" s="218" t="s">
        <v>424</v>
      </c>
      <c r="AA45" s="65" t="s">
        <v>419</v>
      </c>
      <c r="AB45" s="507">
        <f t="shared" si="18"/>
        <v>81.25</v>
      </c>
      <c r="AC45" s="507">
        <f t="shared" si="18"/>
        <v>2.5</v>
      </c>
      <c r="AD45" s="507">
        <f t="shared" si="18"/>
        <v>0.75</v>
      </c>
      <c r="AE45" s="42">
        <f t="shared" si="18"/>
        <v>87.5</v>
      </c>
      <c r="AF45" s="42">
        <f t="shared" si="19"/>
        <v>0.625</v>
      </c>
      <c r="AG45" s="42">
        <f t="shared" si="19"/>
        <v>625</v>
      </c>
      <c r="AH45" s="42">
        <f t="shared" si="19"/>
        <v>625</v>
      </c>
      <c r="AI45" s="478">
        <v>0.16</v>
      </c>
      <c r="AJ45" s="478">
        <v>0.8</v>
      </c>
      <c r="AK45" s="478">
        <v>0.08</v>
      </c>
      <c r="AL45" s="478">
        <v>0.36</v>
      </c>
      <c r="AM45" s="508" t="s">
        <v>414</v>
      </c>
      <c r="AN45" s="819">
        <f t="shared" ref="AN45:AN79" si="20">C45*F45</f>
        <v>0</v>
      </c>
      <c r="AO45" s="507">
        <f t="shared" ref="AO45:AO79" si="21">F45*AB45/100</f>
        <v>0</v>
      </c>
      <c r="AP45" s="820">
        <f t="shared" ref="AP45:AP79" si="22">F45*AC45/100</f>
        <v>0</v>
      </c>
      <c r="AQ45" s="820">
        <f t="shared" ref="AQ45:AQ79" si="23">F45*AD45/100</f>
        <v>0</v>
      </c>
      <c r="AR45" s="820">
        <f t="shared" ref="AR45:AR79" si="24">F45*(AE45-AB45)/100</f>
        <v>0</v>
      </c>
      <c r="AS45" s="820">
        <f t="shared" ref="AS45:AS79" si="25">F45*AF45/1200</f>
        <v>0</v>
      </c>
      <c r="AT45" s="507">
        <f t="shared" ref="AT45:AT79" si="26">$F45*AG45/100</f>
        <v>0</v>
      </c>
      <c r="AU45" s="507">
        <f t="shared" ref="AU45:AU79" si="27">$F45*AH45/100</f>
        <v>0</v>
      </c>
      <c r="AV45" s="507">
        <f t="shared" ref="AV45:AV79" si="28">$F45*AI45/100</f>
        <v>0</v>
      </c>
      <c r="AW45" s="507">
        <f t="shared" ref="AW45:AW79" si="29">$F45*AJ45/100</f>
        <v>0</v>
      </c>
      <c r="AX45" s="507">
        <f t="shared" ref="AX45:AX79" si="30">$F45*AK45/100</f>
        <v>0</v>
      </c>
      <c r="AY45" s="507">
        <f t="shared" ref="AY45:AY79" si="31">$F45*AL45/100</f>
        <v>0</v>
      </c>
      <c r="AZ45" s="817"/>
      <c r="BA45" s="817"/>
    </row>
    <row r="46" spans="1:53">
      <c r="A46" s="206">
        <v>7</v>
      </c>
      <c r="B46" s="206">
        <v>9</v>
      </c>
      <c r="C46" s="157">
        <v>0.1</v>
      </c>
      <c r="D46" s="915" t="str">
        <f t="shared" ref="D46:D79" si="32">Z46</f>
        <v>GRAPEFRUIT</v>
      </c>
      <c r="E46" s="916" t="str">
        <f t="shared" si="17"/>
        <v>FLESH</v>
      </c>
      <c r="F46" s="206"/>
      <c r="G46" s="843"/>
      <c r="H46" s="339"/>
      <c r="I46" s="1610" t="s">
        <v>96</v>
      </c>
      <c r="J46" s="1611"/>
      <c r="K46" s="1612"/>
      <c r="L46" s="1613" t="s">
        <v>432</v>
      </c>
      <c r="M46" s="1614"/>
      <c r="N46" s="1615" t="s">
        <v>433</v>
      </c>
      <c r="O46" s="1615"/>
      <c r="P46" s="1613" t="s">
        <v>434</v>
      </c>
      <c r="Q46" s="1614"/>
      <c r="R46" s="1615" t="s">
        <v>435</v>
      </c>
      <c r="S46" s="1615"/>
      <c r="T46" s="1613" t="s">
        <v>436</v>
      </c>
      <c r="U46" s="1614"/>
      <c r="V46" s="1615" t="s">
        <v>437</v>
      </c>
      <c r="W46" s="1614"/>
      <c r="X46" s="133"/>
      <c r="Y46" s="22"/>
      <c r="Z46" s="65" t="s">
        <v>438</v>
      </c>
      <c r="AA46" s="65" t="s">
        <v>360</v>
      </c>
      <c r="AB46" s="507">
        <v>6.8</v>
      </c>
      <c r="AC46" s="507">
        <v>2</v>
      </c>
      <c r="AD46" s="42">
        <v>0.1</v>
      </c>
      <c r="AE46" s="508">
        <v>8</v>
      </c>
      <c r="AF46" s="507">
        <v>1.6</v>
      </c>
      <c r="AG46" s="507">
        <v>50</v>
      </c>
      <c r="AH46" s="507">
        <v>135</v>
      </c>
      <c r="AI46" s="509">
        <v>3.5999999999999997E-2</v>
      </c>
      <c r="AJ46" s="509">
        <v>0.25</v>
      </c>
      <c r="AK46" s="509">
        <v>0.28299999999999997</v>
      </c>
      <c r="AL46" s="509">
        <v>4.2000000000000003E-2</v>
      </c>
      <c r="AM46" s="508" t="s">
        <v>377</v>
      </c>
      <c r="AN46" s="819">
        <f t="shared" si="20"/>
        <v>0</v>
      </c>
      <c r="AO46" s="507">
        <f t="shared" si="21"/>
        <v>0</v>
      </c>
      <c r="AP46" s="820">
        <f t="shared" si="22"/>
        <v>0</v>
      </c>
      <c r="AQ46" s="820">
        <f t="shared" si="23"/>
        <v>0</v>
      </c>
      <c r="AR46" s="820">
        <f t="shared" si="24"/>
        <v>0</v>
      </c>
      <c r="AS46" s="820">
        <f t="shared" si="25"/>
        <v>0</v>
      </c>
      <c r="AT46" s="507">
        <f t="shared" si="26"/>
        <v>0</v>
      </c>
      <c r="AU46" s="507">
        <f t="shared" si="27"/>
        <v>0</v>
      </c>
      <c r="AV46" s="507">
        <f t="shared" si="28"/>
        <v>0</v>
      </c>
      <c r="AW46" s="507">
        <f t="shared" si="29"/>
        <v>0</v>
      </c>
      <c r="AX46" s="507">
        <f t="shared" si="30"/>
        <v>0</v>
      </c>
      <c r="AY46" s="507">
        <f t="shared" si="31"/>
        <v>0</v>
      </c>
      <c r="AZ46" s="817"/>
      <c r="BA46" s="817"/>
    </row>
    <row r="47" spans="1:53" ht="15" customHeight="1">
      <c r="A47" s="206">
        <v>7</v>
      </c>
      <c r="B47" s="206">
        <v>3</v>
      </c>
      <c r="C47" s="157">
        <v>0</v>
      </c>
      <c r="D47" s="915" t="str">
        <f t="shared" si="32"/>
        <v xml:space="preserve">            "</v>
      </c>
      <c r="E47" s="916" t="str">
        <f t="shared" si="17"/>
        <v>JUICE</v>
      </c>
      <c r="F47" s="206"/>
      <c r="G47" s="843"/>
      <c r="H47" s="339"/>
      <c r="I47" s="1619" t="s">
        <v>876</v>
      </c>
      <c r="J47" s="1620"/>
      <c r="K47" s="1621"/>
      <c r="L47" s="1616" t="s">
        <v>440</v>
      </c>
      <c r="M47" s="1617"/>
      <c r="N47" s="1618" t="s">
        <v>441</v>
      </c>
      <c r="O47" s="1618"/>
      <c r="P47" s="1616" t="s">
        <v>442</v>
      </c>
      <c r="Q47" s="1617"/>
      <c r="R47" s="1618" t="s">
        <v>443</v>
      </c>
      <c r="S47" s="1618"/>
      <c r="T47" s="1616" t="s">
        <v>444</v>
      </c>
      <c r="U47" s="1617"/>
      <c r="V47" s="1618" t="s">
        <v>445</v>
      </c>
      <c r="W47" s="1617"/>
      <c r="X47" s="133"/>
      <c r="Y47" s="22"/>
      <c r="Z47" s="65" t="s">
        <v>388</v>
      </c>
      <c r="AA47" s="65" t="s">
        <v>397</v>
      </c>
      <c r="AB47" s="507">
        <v>9</v>
      </c>
      <c r="AC47" s="507">
        <v>1.8</v>
      </c>
      <c r="AD47" s="42">
        <v>0.01</v>
      </c>
      <c r="AE47" s="508">
        <v>9.1999999999999993</v>
      </c>
      <c r="AF47" s="42">
        <v>0.2</v>
      </c>
      <c r="AG47" s="42">
        <v>50</v>
      </c>
      <c r="AH47" s="507">
        <v>162</v>
      </c>
      <c r="AI47" s="509">
        <v>0.04</v>
      </c>
      <c r="AJ47" s="509">
        <v>0.2</v>
      </c>
      <c r="AK47" s="509">
        <v>0.189</v>
      </c>
      <c r="AL47" s="509">
        <v>4.3999999999999997E-2</v>
      </c>
      <c r="AM47" s="508" t="s">
        <v>377</v>
      </c>
      <c r="AN47" s="819">
        <f t="shared" si="20"/>
        <v>0</v>
      </c>
      <c r="AO47" s="507">
        <f t="shared" si="21"/>
        <v>0</v>
      </c>
      <c r="AP47" s="820">
        <f t="shared" si="22"/>
        <v>0</v>
      </c>
      <c r="AQ47" s="820">
        <f t="shared" si="23"/>
        <v>0</v>
      </c>
      <c r="AR47" s="820">
        <f t="shared" si="24"/>
        <v>0</v>
      </c>
      <c r="AS47" s="820">
        <f t="shared" si="25"/>
        <v>0</v>
      </c>
      <c r="AT47" s="507">
        <f t="shared" si="26"/>
        <v>0</v>
      </c>
      <c r="AU47" s="507">
        <f t="shared" si="27"/>
        <v>0</v>
      </c>
      <c r="AV47" s="507">
        <f t="shared" si="28"/>
        <v>0</v>
      </c>
      <c r="AW47" s="507">
        <f t="shared" si="29"/>
        <v>0</v>
      </c>
      <c r="AX47" s="507">
        <f t="shared" si="30"/>
        <v>0</v>
      </c>
      <c r="AY47" s="507">
        <f t="shared" si="31"/>
        <v>0</v>
      </c>
      <c r="AZ47" s="817"/>
      <c r="BA47" s="817"/>
    </row>
    <row r="48" spans="1:53">
      <c r="A48" s="206">
        <v>7</v>
      </c>
      <c r="B48" s="206">
        <v>12</v>
      </c>
      <c r="C48" s="157">
        <v>0.16</v>
      </c>
      <c r="D48" s="915" t="str">
        <f t="shared" si="32"/>
        <v>GREENGAGE</v>
      </c>
      <c r="E48" s="916" t="str">
        <f t="shared" si="17"/>
        <v>-</v>
      </c>
      <c r="F48" s="206"/>
      <c r="G48" s="843"/>
      <c r="H48" s="339"/>
      <c r="I48" s="1603" t="s">
        <v>439</v>
      </c>
      <c r="J48" s="1604"/>
      <c r="K48" s="807" t="str">
        <f>"(g ̸ "&amp;FIXED(($E$8),1)&amp;" litres)"</f>
        <v>(g ̸ 4.5 litres)</v>
      </c>
      <c r="L48" s="1605" t="str">
        <f>"0-"&amp;(FIXED(($E$8*20*8.3*6/4.5),-2))/20</f>
        <v>0-50</v>
      </c>
      <c r="M48" s="1606"/>
      <c r="N48" s="1607" t="str">
        <f>FIXED(($E$8*20*8.3*6/4.5),-2)/20&amp;"-"&amp;FIXED(($E$8*20*22*6/4.5),-2)/20</f>
        <v>50-130</v>
      </c>
      <c r="O48" s="1607"/>
      <c r="P48" s="1605" t="str">
        <f>FIXED(($E$8*20*22*6/4.5),-2)/20&amp;"-"&amp;FIXED(($E$8*20*33*6/4.5),-2)/20</f>
        <v>130-200</v>
      </c>
      <c r="Q48" s="1606"/>
      <c r="R48" s="1607" t="str">
        <f>FIXED(($E$8*20*33*6/4.5),-2)/20&amp;"-"&amp;FIXED(($E$8*20*43*6/4.5),-2)/20</f>
        <v>200-260</v>
      </c>
      <c r="S48" s="1607"/>
      <c r="T48" s="1605" t="str">
        <f>FIXED(($E$8*20*43*6/4.5),-2)/20&amp;"-"&amp;FIXED(($E$8*20*52*6/4.5),-2)/20</f>
        <v>260-310</v>
      </c>
      <c r="U48" s="1606"/>
      <c r="V48" s="1607" t="str">
        <f>FIXED(($E$8*20*52*6/4.5),-2)/20&amp;"+"</f>
        <v>310+</v>
      </c>
      <c r="W48" s="1606"/>
      <c r="X48" s="133"/>
      <c r="Y48" s="22"/>
      <c r="Z48" s="65" t="s">
        <v>446</v>
      </c>
      <c r="AA48" s="65" t="s">
        <v>376</v>
      </c>
      <c r="AB48" s="507">
        <v>11</v>
      </c>
      <c r="AC48" s="507">
        <v>1.2</v>
      </c>
      <c r="AD48" s="42">
        <v>0.1</v>
      </c>
      <c r="AE48" s="43">
        <v>12</v>
      </c>
      <c r="AF48" s="42">
        <v>0.9</v>
      </c>
      <c r="AG48" s="507">
        <v>120</v>
      </c>
      <c r="AH48" s="42">
        <v>155</v>
      </c>
      <c r="AI48" s="478">
        <v>2.8000000000000001E-2</v>
      </c>
      <c r="AJ48" s="478">
        <v>0.41699999999999998</v>
      </c>
      <c r="AK48" s="478">
        <v>0.13500000000000001</v>
      </c>
      <c r="AL48" s="478">
        <v>2.9000000000000001E-2</v>
      </c>
      <c r="AM48" s="508" t="s">
        <v>349</v>
      </c>
      <c r="AN48" s="819">
        <f t="shared" si="20"/>
        <v>0</v>
      </c>
      <c r="AO48" s="507">
        <f t="shared" si="21"/>
        <v>0</v>
      </c>
      <c r="AP48" s="820">
        <f t="shared" si="22"/>
        <v>0</v>
      </c>
      <c r="AQ48" s="820">
        <f t="shared" si="23"/>
        <v>0</v>
      </c>
      <c r="AR48" s="820">
        <f t="shared" si="24"/>
        <v>0</v>
      </c>
      <c r="AS48" s="820">
        <f t="shared" si="25"/>
        <v>0</v>
      </c>
      <c r="AT48" s="507">
        <f t="shared" si="26"/>
        <v>0</v>
      </c>
      <c r="AU48" s="507">
        <f t="shared" si="27"/>
        <v>0</v>
      </c>
      <c r="AV48" s="507">
        <f t="shared" si="28"/>
        <v>0</v>
      </c>
      <c r="AW48" s="507">
        <f t="shared" si="29"/>
        <v>0</v>
      </c>
      <c r="AX48" s="507">
        <f t="shared" si="30"/>
        <v>0</v>
      </c>
      <c r="AY48" s="507">
        <f t="shared" si="31"/>
        <v>0</v>
      </c>
      <c r="AZ48" s="817"/>
      <c r="BA48" s="817"/>
    </row>
    <row r="49" spans="1:53">
      <c r="A49" s="206">
        <v>7</v>
      </c>
      <c r="B49" s="206">
        <v>6</v>
      </c>
      <c r="C49" s="157">
        <v>0.14000000000000001</v>
      </c>
      <c r="D49" s="915" t="str">
        <f t="shared" si="32"/>
        <v>GUAVA</v>
      </c>
      <c r="E49" s="916" t="str">
        <f t="shared" si="17"/>
        <v>-</v>
      </c>
      <c r="F49" s="206"/>
      <c r="G49" s="843"/>
      <c r="H49" s="843"/>
      <c r="I49" s="843"/>
      <c r="J49" s="843"/>
      <c r="K49" s="843"/>
      <c r="L49" s="843"/>
      <c r="M49" s="843"/>
      <c r="N49" s="843"/>
      <c r="O49" s="843"/>
      <c r="P49" s="843"/>
      <c r="Q49" s="843"/>
      <c r="R49" s="843"/>
      <c r="S49" s="843"/>
      <c r="T49" s="843"/>
      <c r="U49" s="843"/>
      <c r="V49" s="843"/>
      <c r="W49" s="843"/>
      <c r="X49" s="142"/>
      <c r="Y49" s="36"/>
      <c r="Z49" s="65" t="s">
        <v>447</v>
      </c>
      <c r="AA49" s="65" t="s">
        <v>376</v>
      </c>
      <c r="AB49" s="507">
        <v>8.6</v>
      </c>
      <c r="AC49" s="507">
        <v>0.4</v>
      </c>
      <c r="AD49" s="42">
        <v>0.1</v>
      </c>
      <c r="AE49" s="508">
        <v>14</v>
      </c>
      <c r="AF49" s="42">
        <v>0.5</v>
      </c>
      <c r="AG49" s="42">
        <v>50</v>
      </c>
      <c r="AH49" s="507">
        <v>290</v>
      </c>
      <c r="AI49" s="509">
        <v>6.7000000000000004E-2</v>
      </c>
      <c r="AJ49" s="509">
        <v>1.04</v>
      </c>
      <c r="AK49" s="509">
        <v>0.45100000000000001</v>
      </c>
      <c r="AL49" s="509">
        <v>0.11</v>
      </c>
      <c r="AM49" s="508"/>
      <c r="AN49" s="819">
        <f t="shared" si="20"/>
        <v>0</v>
      </c>
      <c r="AO49" s="507">
        <f t="shared" si="21"/>
        <v>0</v>
      </c>
      <c r="AP49" s="820">
        <f t="shared" si="22"/>
        <v>0</v>
      </c>
      <c r="AQ49" s="820">
        <f t="shared" si="23"/>
        <v>0</v>
      </c>
      <c r="AR49" s="820">
        <f t="shared" si="24"/>
        <v>0</v>
      </c>
      <c r="AS49" s="820">
        <f t="shared" si="25"/>
        <v>0</v>
      </c>
      <c r="AT49" s="507">
        <f t="shared" si="26"/>
        <v>0</v>
      </c>
      <c r="AU49" s="507">
        <f t="shared" si="27"/>
        <v>0</v>
      </c>
      <c r="AV49" s="507">
        <f t="shared" si="28"/>
        <v>0</v>
      </c>
      <c r="AW49" s="507">
        <f t="shared" si="29"/>
        <v>0</v>
      </c>
      <c r="AX49" s="507">
        <f t="shared" si="30"/>
        <v>0</v>
      </c>
      <c r="AY49" s="507">
        <f t="shared" si="31"/>
        <v>0</v>
      </c>
      <c r="AZ49" s="817"/>
      <c r="BA49" s="817"/>
    </row>
    <row r="50" spans="1:53">
      <c r="A50" s="206" t="s">
        <v>366</v>
      </c>
      <c r="B50" s="206">
        <v>12</v>
      </c>
      <c r="C50" s="157">
        <v>0</v>
      </c>
      <c r="D50" s="915" t="str">
        <f t="shared" si="32"/>
        <v>HONEY (1 lb = 454g)</v>
      </c>
      <c r="E50" s="916" t="str">
        <f t="shared" si="17"/>
        <v>-</v>
      </c>
      <c r="F50" s="206"/>
      <c r="G50" s="843"/>
      <c r="H50" s="843"/>
      <c r="I50" s="843"/>
      <c r="J50" s="843"/>
      <c r="K50" s="843"/>
      <c r="L50" s="843"/>
      <c r="M50" s="843"/>
      <c r="N50" s="843"/>
      <c r="O50" s="843"/>
      <c r="P50" s="843"/>
      <c r="Q50" s="843"/>
      <c r="R50" s="843"/>
      <c r="S50" s="843"/>
      <c r="T50" s="843"/>
      <c r="U50" s="843"/>
      <c r="V50" s="843"/>
      <c r="W50" s="843"/>
      <c r="X50" s="843"/>
      <c r="Y50" s="36"/>
      <c r="Z50" s="65" t="s">
        <v>448</v>
      </c>
      <c r="AA50" s="65" t="s">
        <v>376</v>
      </c>
      <c r="AB50" s="507">
        <v>80</v>
      </c>
      <c r="AC50" s="507">
        <v>0.5</v>
      </c>
      <c r="AD50" s="507">
        <v>0</v>
      </c>
      <c r="AE50" s="43">
        <v>80</v>
      </c>
      <c r="AF50" s="507">
        <v>0.01</v>
      </c>
      <c r="AG50" s="42">
        <v>0</v>
      </c>
      <c r="AH50" s="507">
        <v>52</v>
      </c>
      <c r="AI50" s="509">
        <v>0</v>
      </c>
      <c r="AJ50" s="509">
        <v>0.121</v>
      </c>
      <c r="AK50" s="509">
        <v>6.8000000000000005E-2</v>
      </c>
      <c r="AL50" s="509">
        <v>2.4E-2</v>
      </c>
      <c r="AM50" s="508"/>
      <c r="AN50" s="819">
        <f t="shared" si="20"/>
        <v>0</v>
      </c>
      <c r="AO50" s="507">
        <f t="shared" si="21"/>
        <v>0</v>
      </c>
      <c r="AP50" s="820">
        <f t="shared" si="22"/>
        <v>0</v>
      </c>
      <c r="AQ50" s="820">
        <f t="shared" si="23"/>
        <v>0</v>
      </c>
      <c r="AR50" s="820">
        <f t="shared" si="24"/>
        <v>0</v>
      </c>
      <c r="AS50" s="820">
        <f t="shared" si="25"/>
        <v>0</v>
      </c>
      <c r="AT50" s="507">
        <f t="shared" si="26"/>
        <v>0</v>
      </c>
      <c r="AU50" s="507">
        <f t="shared" si="27"/>
        <v>0</v>
      </c>
      <c r="AV50" s="507">
        <f t="shared" si="28"/>
        <v>0</v>
      </c>
      <c r="AW50" s="507">
        <f t="shared" si="29"/>
        <v>0</v>
      </c>
      <c r="AX50" s="507">
        <f t="shared" si="30"/>
        <v>0</v>
      </c>
      <c r="AY50" s="507">
        <f t="shared" si="31"/>
        <v>0</v>
      </c>
      <c r="AZ50" s="817"/>
      <c r="BA50" s="817"/>
    </row>
    <row r="51" spans="1:53">
      <c r="A51" s="206">
        <v>7</v>
      </c>
      <c r="B51" s="206">
        <v>3</v>
      </c>
      <c r="C51" s="157">
        <v>0.16</v>
      </c>
      <c r="D51" s="915" t="str">
        <f t="shared" si="32"/>
        <v>KIWIFRUIT</v>
      </c>
      <c r="E51" s="916" t="str">
        <f t="shared" si="17"/>
        <v>-</v>
      </c>
      <c r="F51" s="206"/>
      <c r="G51" s="843"/>
      <c r="H51" s="339"/>
      <c r="I51" s="1608" t="s">
        <v>449</v>
      </c>
      <c r="J51" s="1608"/>
      <c r="K51" s="1608"/>
      <c r="L51" s="868"/>
      <c r="M51" s="868"/>
      <c r="N51" s="868"/>
      <c r="O51" s="868"/>
      <c r="P51" s="868"/>
      <c r="Q51" s="868"/>
      <c r="R51" s="868"/>
      <c r="S51" s="868"/>
      <c r="T51" s="843"/>
      <c r="U51" s="843"/>
      <c r="V51" s="843"/>
      <c r="W51" s="843"/>
      <c r="X51" s="843"/>
      <c r="Y51" s="36"/>
      <c r="Z51" s="65" t="s">
        <v>450</v>
      </c>
      <c r="AA51" s="65" t="s">
        <v>376</v>
      </c>
      <c r="AB51" s="507">
        <v>14</v>
      </c>
      <c r="AC51" s="507">
        <v>3</v>
      </c>
      <c r="AD51" s="42">
        <v>0.1</v>
      </c>
      <c r="AE51" s="508">
        <v>15</v>
      </c>
      <c r="AF51" s="42">
        <v>0.5</v>
      </c>
      <c r="AG51" s="42">
        <v>50</v>
      </c>
      <c r="AH51" s="507">
        <v>312</v>
      </c>
      <c r="AI51" s="509">
        <v>2.7E-2</v>
      </c>
      <c r="AJ51" s="509">
        <v>0.34100000000000003</v>
      </c>
      <c r="AK51" s="509">
        <v>0.183</v>
      </c>
      <c r="AL51" s="509">
        <v>6.3E-2</v>
      </c>
      <c r="AM51" s="508"/>
      <c r="AN51" s="819">
        <f t="shared" si="20"/>
        <v>0</v>
      </c>
      <c r="AO51" s="507">
        <f t="shared" si="21"/>
        <v>0</v>
      </c>
      <c r="AP51" s="820">
        <f t="shared" si="22"/>
        <v>0</v>
      </c>
      <c r="AQ51" s="820">
        <f t="shared" si="23"/>
        <v>0</v>
      </c>
      <c r="AR51" s="820">
        <f t="shared" si="24"/>
        <v>0</v>
      </c>
      <c r="AS51" s="820">
        <f t="shared" si="25"/>
        <v>0</v>
      </c>
      <c r="AT51" s="507">
        <f t="shared" si="26"/>
        <v>0</v>
      </c>
      <c r="AU51" s="507">
        <f t="shared" si="27"/>
        <v>0</v>
      </c>
      <c r="AV51" s="507">
        <f t="shared" si="28"/>
        <v>0</v>
      </c>
      <c r="AW51" s="507">
        <f t="shared" si="29"/>
        <v>0</v>
      </c>
      <c r="AX51" s="507">
        <f t="shared" si="30"/>
        <v>0</v>
      </c>
      <c r="AY51" s="507">
        <f t="shared" si="31"/>
        <v>0</v>
      </c>
      <c r="AZ51" s="817"/>
      <c r="BA51" s="817"/>
    </row>
    <row r="52" spans="1:53">
      <c r="A52" s="206" t="s">
        <v>366</v>
      </c>
      <c r="B52" s="206">
        <v>6</v>
      </c>
      <c r="C52" s="157">
        <v>0</v>
      </c>
      <c r="D52" s="915" t="str">
        <f t="shared" si="32"/>
        <v>LEMON (1 fruit ≈ 30ml juice)</v>
      </c>
      <c r="E52" s="916" t="str">
        <f t="shared" si="17"/>
        <v>JUICE</v>
      </c>
      <c r="F52" s="206"/>
      <c r="G52" s="1702" t="str">
        <f>"= "&amp;FIXED((F52/30),1)&amp;" lemons?"</f>
        <v>= 0.0 lemons?</v>
      </c>
      <c r="H52" s="1703"/>
      <c r="I52" s="1609" t="s">
        <v>878</v>
      </c>
      <c r="J52" s="1609"/>
      <c r="K52" s="1609"/>
      <c r="L52" s="1609"/>
      <c r="M52" s="1609"/>
      <c r="N52" s="1609"/>
      <c r="O52" s="1609"/>
      <c r="P52" s="1609"/>
      <c r="Q52" s="1609"/>
      <c r="R52" s="1609"/>
      <c r="S52" s="1609"/>
      <c r="T52" s="529"/>
      <c r="U52" s="529"/>
      <c r="V52" s="528"/>
      <c r="W52" s="528"/>
      <c r="X52" s="528"/>
      <c r="Y52" s="36"/>
      <c r="Z52" s="65" t="s">
        <v>941</v>
      </c>
      <c r="AA52" s="65" t="s">
        <v>397</v>
      </c>
      <c r="AB52" s="507">
        <v>1.5</v>
      </c>
      <c r="AC52" s="507">
        <v>4.3</v>
      </c>
      <c r="AD52" s="42">
        <v>0.01</v>
      </c>
      <c r="AE52" s="508">
        <v>9</v>
      </c>
      <c r="AF52" s="42">
        <v>0.2</v>
      </c>
      <c r="AG52" s="507">
        <v>150</v>
      </c>
      <c r="AH52" s="507">
        <v>124</v>
      </c>
      <c r="AI52" s="509">
        <v>0.03</v>
      </c>
      <c r="AJ52" s="509">
        <v>0.1</v>
      </c>
      <c r="AK52" s="509">
        <v>0.10299999999999999</v>
      </c>
      <c r="AL52" s="509">
        <v>0</v>
      </c>
      <c r="AM52" s="508" t="s">
        <v>377</v>
      </c>
      <c r="AN52" s="819">
        <f t="shared" si="20"/>
        <v>0</v>
      </c>
      <c r="AO52" s="507">
        <f t="shared" si="21"/>
        <v>0</v>
      </c>
      <c r="AP52" s="820">
        <f t="shared" si="22"/>
        <v>0</v>
      </c>
      <c r="AQ52" s="820">
        <f t="shared" si="23"/>
        <v>0</v>
      </c>
      <c r="AR52" s="820">
        <f t="shared" si="24"/>
        <v>0</v>
      </c>
      <c r="AS52" s="820">
        <f t="shared" si="25"/>
        <v>0</v>
      </c>
      <c r="AT52" s="507">
        <f t="shared" si="26"/>
        <v>0</v>
      </c>
      <c r="AU52" s="507">
        <f t="shared" si="27"/>
        <v>0</v>
      </c>
      <c r="AV52" s="507">
        <f t="shared" si="28"/>
        <v>0</v>
      </c>
      <c r="AW52" s="507">
        <f t="shared" si="29"/>
        <v>0</v>
      </c>
      <c r="AX52" s="507">
        <f t="shared" si="30"/>
        <v>0</v>
      </c>
      <c r="AY52" s="507">
        <f t="shared" si="31"/>
        <v>0</v>
      </c>
      <c r="AZ52" s="817"/>
      <c r="BA52" s="817"/>
    </row>
    <row r="53" spans="1:53">
      <c r="A53" s="206">
        <v>7</v>
      </c>
      <c r="B53" s="206">
        <v>3</v>
      </c>
      <c r="C53" s="157">
        <v>0.19</v>
      </c>
      <c r="D53" s="915" t="str">
        <f t="shared" si="32"/>
        <v>LITCHI (LYCHEE)</v>
      </c>
      <c r="E53" s="916" t="str">
        <f t="shared" si="17"/>
        <v>-</v>
      </c>
      <c r="F53" s="206"/>
      <c r="G53" s="843"/>
      <c r="H53" s="339"/>
      <c r="I53" s="1590" t="s">
        <v>451</v>
      </c>
      <c r="J53" s="1591"/>
      <c r="K53" s="1591"/>
      <c r="L53" s="351">
        <f>(Q27+W12+10)/1000</f>
        <v>3.76</v>
      </c>
      <c r="M53" s="1548" t="s">
        <v>452</v>
      </c>
      <c r="N53" s="1549"/>
      <c r="O53" s="1549"/>
      <c r="P53" s="1549"/>
      <c r="Q53" s="1549"/>
      <c r="R53" s="1549"/>
      <c r="S53" s="1549"/>
      <c r="T53" s="1549"/>
      <c r="U53" s="1549"/>
      <c r="V53" s="1549"/>
      <c r="W53" s="1592"/>
      <c r="X53" s="843"/>
      <c r="Y53" s="36"/>
      <c r="Z53" s="65" t="s">
        <v>453</v>
      </c>
      <c r="AA53" s="65" t="s">
        <v>376</v>
      </c>
      <c r="AB53" s="507">
        <v>15.2</v>
      </c>
      <c r="AC53" s="507">
        <v>0.3</v>
      </c>
      <c r="AD53" s="42">
        <v>0.1</v>
      </c>
      <c r="AE53" s="508">
        <v>16.5</v>
      </c>
      <c r="AF53" s="42">
        <v>0.5</v>
      </c>
      <c r="AG53" s="42">
        <v>50</v>
      </c>
      <c r="AH53" s="507">
        <v>171</v>
      </c>
      <c r="AI53" s="509">
        <v>1.0999999999999999E-2</v>
      </c>
      <c r="AJ53" s="509">
        <v>0.60299999999999998</v>
      </c>
      <c r="AK53" s="509">
        <v>0</v>
      </c>
      <c r="AL53" s="509">
        <v>0.1</v>
      </c>
      <c r="AM53" s="508"/>
      <c r="AN53" s="819">
        <f t="shared" si="20"/>
        <v>0</v>
      </c>
      <c r="AO53" s="507">
        <f t="shared" si="21"/>
        <v>0</v>
      </c>
      <c r="AP53" s="820">
        <f t="shared" si="22"/>
        <v>0</v>
      </c>
      <c r="AQ53" s="820">
        <f t="shared" si="23"/>
        <v>0</v>
      </c>
      <c r="AR53" s="820">
        <f t="shared" si="24"/>
        <v>0</v>
      </c>
      <c r="AS53" s="820">
        <f t="shared" si="25"/>
        <v>0</v>
      </c>
      <c r="AT53" s="507">
        <f t="shared" si="26"/>
        <v>0</v>
      </c>
      <c r="AU53" s="507">
        <f t="shared" si="27"/>
        <v>0</v>
      </c>
      <c r="AV53" s="507">
        <f t="shared" si="28"/>
        <v>0</v>
      </c>
      <c r="AW53" s="507">
        <f t="shared" si="29"/>
        <v>0</v>
      </c>
      <c r="AX53" s="507">
        <f t="shared" si="30"/>
        <v>0</v>
      </c>
      <c r="AY53" s="507">
        <f t="shared" si="31"/>
        <v>0</v>
      </c>
      <c r="AZ53" s="817"/>
      <c r="BA53" s="817"/>
    </row>
    <row r="54" spans="1:53">
      <c r="A54" s="206">
        <v>7</v>
      </c>
      <c r="B54" s="206">
        <v>6</v>
      </c>
      <c r="C54" s="157">
        <v>0.15</v>
      </c>
      <c r="D54" s="915" t="str">
        <f t="shared" si="32"/>
        <v>LOGANBERRY</v>
      </c>
      <c r="E54" s="916" t="str">
        <f t="shared" si="17"/>
        <v>-</v>
      </c>
      <c r="F54" s="206"/>
      <c r="G54" s="843"/>
      <c r="H54" s="339"/>
      <c r="I54" s="1527" t="s">
        <v>454</v>
      </c>
      <c r="J54" s="1528"/>
      <c r="K54" s="1528"/>
      <c r="L54" s="352">
        <f>L61-L53</f>
        <v>1.04</v>
      </c>
      <c r="M54" s="1527" t="s">
        <v>455</v>
      </c>
      <c r="N54" s="1528"/>
      <c r="O54" s="1528"/>
      <c r="P54" s="1528"/>
      <c r="Q54" s="1528"/>
      <c r="R54" s="1528"/>
      <c r="S54" s="1528"/>
      <c r="T54" s="1528"/>
      <c r="U54" s="1528"/>
      <c r="V54" s="1528"/>
      <c r="W54" s="1529"/>
      <c r="X54" s="337"/>
      <c r="Y54" s="36"/>
      <c r="Z54" s="65" t="s">
        <v>456</v>
      </c>
      <c r="AA54" s="65" t="s">
        <v>376</v>
      </c>
      <c r="AB54" s="507">
        <v>5</v>
      </c>
      <c r="AC54" s="507">
        <v>2</v>
      </c>
      <c r="AD54" s="507">
        <v>0.2</v>
      </c>
      <c r="AE54" s="508">
        <v>15</v>
      </c>
      <c r="AF54" s="507">
        <v>0.6</v>
      </c>
      <c r="AG54" s="507">
        <v>180</v>
      </c>
      <c r="AH54" s="507">
        <v>266</v>
      </c>
      <c r="AI54" s="509">
        <v>0.03</v>
      </c>
      <c r="AJ54" s="509">
        <v>0.3</v>
      </c>
      <c r="AK54" s="478">
        <v>0</v>
      </c>
      <c r="AL54" s="509">
        <v>0</v>
      </c>
      <c r="AM54" s="508" t="s">
        <v>377</v>
      </c>
      <c r="AN54" s="819">
        <f t="shared" si="20"/>
        <v>0</v>
      </c>
      <c r="AO54" s="507">
        <f t="shared" si="21"/>
        <v>0</v>
      </c>
      <c r="AP54" s="820">
        <f t="shared" si="22"/>
        <v>0</v>
      </c>
      <c r="AQ54" s="820">
        <f t="shared" si="23"/>
        <v>0</v>
      </c>
      <c r="AR54" s="820">
        <f t="shared" si="24"/>
        <v>0</v>
      </c>
      <c r="AS54" s="820">
        <f t="shared" si="25"/>
        <v>0</v>
      </c>
      <c r="AT54" s="507">
        <f t="shared" si="26"/>
        <v>0</v>
      </c>
      <c r="AU54" s="507">
        <f t="shared" si="27"/>
        <v>0</v>
      </c>
      <c r="AV54" s="507">
        <f t="shared" si="28"/>
        <v>0</v>
      </c>
      <c r="AW54" s="507">
        <f t="shared" si="29"/>
        <v>0</v>
      </c>
      <c r="AX54" s="507">
        <f t="shared" si="30"/>
        <v>0</v>
      </c>
      <c r="AY54" s="507">
        <f t="shared" si="31"/>
        <v>0</v>
      </c>
      <c r="AZ54" s="817"/>
      <c r="BA54" s="817"/>
    </row>
    <row r="55" spans="1:53">
      <c r="A55" s="206">
        <v>7</v>
      </c>
      <c r="B55" s="206">
        <v>3</v>
      </c>
      <c r="C55" s="157">
        <v>0.19</v>
      </c>
      <c r="D55" s="915" t="str">
        <f t="shared" si="32"/>
        <v>MANGO</v>
      </c>
      <c r="E55" s="916" t="str">
        <f t="shared" si="17"/>
        <v>-</v>
      </c>
      <c r="F55" s="206"/>
      <c r="G55" s="843"/>
      <c r="H55" s="339"/>
      <c r="I55" s="865"/>
      <c r="J55" s="865"/>
      <c r="K55" s="865"/>
      <c r="L55" s="865"/>
      <c r="M55" s="337"/>
      <c r="N55" s="337"/>
      <c r="O55" s="337"/>
      <c r="P55" s="337"/>
      <c r="Q55" s="337"/>
      <c r="R55" s="337"/>
      <c r="S55" s="337"/>
      <c r="T55" s="337"/>
      <c r="U55" s="337"/>
      <c r="V55" s="337"/>
      <c r="W55" s="337"/>
      <c r="X55" s="337"/>
      <c r="Y55" s="36"/>
      <c r="Z55" s="65" t="s">
        <v>457</v>
      </c>
      <c r="AA55" s="65" t="s">
        <v>376</v>
      </c>
      <c r="AB55" s="507">
        <v>11</v>
      </c>
      <c r="AC55" s="507">
        <v>0.5</v>
      </c>
      <c r="AD55" s="42">
        <v>0.1</v>
      </c>
      <c r="AE55" s="508">
        <v>17</v>
      </c>
      <c r="AF55" s="42">
        <v>0.5</v>
      </c>
      <c r="AG55" s="42">
        <v>50</v>
      </c>
      <c r="AH55" s="507">
        <v>155</v>
      </c>
      <c r="AI55" s="509">
        <v>5.8000000000000003E-2</v>
      </c>
      <c r="AJ55" s="509">
        <v>0.58399999999999996</v>
      </c>
      <c r="AK55" s="509">
        <v>0.16</v>
      </c>
      <c r="AL55" s="509">
        <v>0.13400000000000001</v>
      </c>
      <c r="AM55" s="508"/>
      <c r="AN55" s="819">
        <f t="shared" si="20"/>
        <v>0</v>
      </c>
      <c r="AO55" s="507">
        <f t="shared" si="21"/>
        <v>0</v>
      </c>
      <c r="AP55" s="820">
        <f t="shared" si="22"/>
        <v>0</v>
      </c>
      <c r="AQ55" s="820">
        <f t="shared" si="23"/>
        <v>0</v>
      </c>
      <c r="AR55" s="820">
        <f t="shared" si="24"/>
        <v>0</v>
      </c>
      <c r="AS55" s="820">
        <f t="shared" si="25"/>
        <v>0</v>
      </c>
      <c r="AT55" s="507">
        <f t="shared" si="26"/>
        <v>0</v>
      </c>
      <c r="AU55" s="507">
        <f t="shared" si="27"/>
        <v>0</v>
      </c>
      <c r="AV55" s="507">
        <f t="shared" si="28"/>
        <v>0</v>
      </c>
      <c r="AW55" s="507">
        <f t="shared" si="29"/>
        <v>0</v>
      </c>
      <c r="AX55" s="507">
        <f t="shared" si="30"/>
        <v>0</v>
      </c>
      <c r="AY55" s="507">
        <f t="shared" si="31"/>
        <v>0</v>
      </c>
      <c r="AZ55" s="817"/>
      <c r="BA55" s="817"/>
    </row>
    <row r="56" spans="1:53">
      <c r="A56" s="206">
        <v>7</v>
      </c>
      <c r="B56" s="206">
        <v>12</v>
      </c>
      <c r="C56" s="157">
        <v>0.25</v>
      </c>
      <c r="D56" s="915" t="str">
        <f t="shared" si="32"/>
        <v>MEDLAR</v>
      </c>
      <c r="E56" s="916" t="str">
        <f t="shared" si="17"/>
        <v>-</v>
      </c>
      <c r="F56" s="206"/>
      <c r="G56" s="843"/>
      <c r="H56" s="339"/>
      <c r="I56" s="865"/>
      <c r="J56" s="865"/>
      <c r="K56" s="865"/>
      <c r="L56" s="865"/>
      <c r="M56" s="865"/>
      <c r="N56" s="865"/>
      <c r="O56" s="865"/>
      <c r="P56" s="865"/>
      <c r="Q56" s="865"/>
      <c r="R56" s="865"/>
      <c r="S56" s="865"/>
      <c r="T56" s="865"/>
      <c r="U56" s="865"/>
      <c r="V56" s="865"/>
      <c r="W56" s="865"/>
      <c r="X56" s="77"/>
      <c r="Y56" s="36"/>
      <c r="Z56" s="65" t="s">
        <v>458</v>
      </c>
      <c r="AA56" s="65" t="s">
        <v>376</v>
      </c>
      <c r="AB56" s="507">
        <v>10</v>
      </c>
      <c r="AC56" s="42">
        <v>1</v>
      </c>
      <c r="AD56" s="42">
        <v>0.1</v>
      </c>
      <c r="AE56" s="43">
        <v>11</v>
      </c>
      <c r="AF56" s="42">
        <v>0.5</v>
      </c>
      <c r="AG56" s="42">
        <v>50</v>
      </c>
      <c r="AH56" s="42">
        <v>50</v>
      </c>
      <c r="AI56" s="478">
        <v>0.03</v>
      </c>
      <c r="AJ56" s="478">
        <v>0.3</v>
      </c>
      <c r="AK56" s="478">
        <v>0.1</v>
      </c>
      <c r="AL56" s="478">
        <v>0.08</v>
      </c>
      <c r="AM56" s="508"/>
      <c r="AN56" s="819">
        <f t="shared" si="20"/>
        <v>0</v>
      </c>
      <c r="AO56" s="507">
        <f t="shared" si="21"/>
        <v>0</v>
      </c>
      <c r="AP56" s="820">
        <f t="shared" si="22"/>
        <v>0</v>
      </c>
      <c r="AQ56" s="820">
        <f t="shared" si="23"/>
        <v>0</v>
      </c>
      <c r="AR56" s="820">
        <f t="shared" si="24"/>
        <v>0</v>
      </c>
      <c r="AS56" s="820">
        <f t="shared" si="25"/>
        <v>0</v>
      </c>
      <c r="AT56" s="507">
        <f t="shared" si="26"/>
        <v>0</v>
      </c>
      <c r="AU56" s="507">
        <f t="shared" si="27"/>
        <v>0</v>
      </c>
      <c r="AV56" s="507">
        <f t="shared" si="28"/>
        <v>0</v>
      </c>
      <c r="AW56" s="507">
        <f t="shared" si="29"/>
        <v>0</v>
      </c>
      <c r="AX56" s="507">
        <f t="shared" si="30"/>
        <v>0</v>
      </c>
      <c r="AY56" s="507">
        <f t="shared" si="31"/>
        <v>0</v>
      </c>
      <c r="AZ56" s="817"/>
      <c r="BA56" s="817"/>
    </row>
    <row r="57" spans="1:53">
      <c r="A57" s="206">
        <v>7</v>
      </c>
      <c r="B57" s="206">
        <v>3</v>
      </c>
      <c r="C57" s="157">
        <v>0.06</v>
      </c>
      <c r="D57" s="915" t="str">
        <f t="shared" si="32"/>
        <v>MELON</v>
      </c>
      <c r="E57" s="916" t="str">
        <f t="shared" si="17"/>
        <v>-</v>
      </c>
      <c r="F57" s="206"/>
      <c r="G57" s="843"/>
      <c r="H57" s="339"/>
      <c r="I57" s="1593" t="s">
        <v>459</v>
      </c>
      <c r="J57" s="1593"/>
      <c r="K57" s="1593"/>
      <c r="L57" s="527" t="str">
        <f>E8&amp;" litres"</f>
        <v>4.5 litres</v>
      </c>
      <c r="M57" s="1594"/>
      <c r="N57" s="1594"/>
      <c r="O57" s="1594"/>
      <c r="P57" s="427"/>
      <c r="Q57" s="843"/>
      <c r="R57" s="865"/>
      <c r="S57" s="865"/>
      <c r="T57" s="865"/>
      <c r="U57" s="865"/>
      <c r="V57" s="865"/>
      <c r="W57" s="865"/>
      <c r="X57" s="865"/>
      <c r="Y57" s="36"/>
      <c r="Z57" s="65" t="s">
        <v>460</v>
      </c>
      <c r="AA57" s="65" t="s">
        <v>376</v>
      </c>
      <c r="AB57" s="507">
        <v>6</v>
      </c>
      <c r="AC57" s="507">
        <v>0.2</v>
      </c>
      <c r="AD57" s="42">
        <v>0.1</v>
      </c>
      <c r="AE57" s="508">
        <v>9</v>
      </c>
      <c r="AF57" s="42">
        <v>0.5</v>
      </c>
      <c r="AG57" s="507">
        <v>100</v>
      </c>
      <c r="AH57" s="507">
        <v>200</v>
      </c>
      <c r="AI57" s="509">
        <v>3.7999999999999999E-2</v>
      </c>
      <c r="AJ57" s="509">
        <v>0.41799999999999998</v>
      </c>
      <c r="AK57" s="509">
        <v>0.155</v>
      </c>
      <c r="AL57" s="509">
        <v>8.7999999999999995E-2</v>
      </c>
      <c r="AM57" s="508"/>
      <c r="AN57" s="819">
        <f t="shared" si="20"/>
        <v>0</v>
      </c>
      <c r="AO57" s="507">
        <f t="shared" si="21"/>
        <v>0</v>
      </c>
      <c r="AP57" s="820">
        <f t="shared" si="22"/>
        <v>0</v>
      </c>
      <c r="AQ57" s="820">
        <f t="shared" si="23"/>
        <v>0</v>
      </c>
      <c r="AR57" s="820">
        <f t="shared" si="24"/>
        <v>0</v>
      </c>
      <c r="AS57" s="820">
        <f t="shared" si="25"/>
        <v>0</v>
      </c>
      <c r="AT57" s="507">
        <f t="shared" si="26"/>
        <v>0</v>
      </c>
      <c r="AU57" s="507">
        <f t="shared" si="27"/>
        <v>0</v>
      </c>
      <c r="AV57" s="507">
        <f t="shared" si="28"/>
        <v>0</v>
      </c>
      <c r="AW57" s="507">
        <f t="shared" si="29"/>
        <v>0</v>
      </c>
      <c r="AX57" s="507">
        <f t="shared" si="30"/>
        <v>0</v>
      </c>
      <c r="AY57" s="507">
        <f t="shared" si="31"/>
        <v>0</v>
      </c>
      <c r="AZ57" s="817"/>
      <c r="BA57" s="817"/>
    </row>
    <row r="58" spans="1:53">
      <c r="A58" s="206">
        <v>7</v>
      </c>
      <c r="B58" s="206">
        <v>3</v>
      </c>
      <c r="C58" s="157">
        <v>0.15</v>
      </c>
      <c r="D58" s="915" t="str">
        <f t="shared" si="32"/>
        <v>MULBERRY</v>
      </c>
      <c r="E58" s="916" t="str">
        <f t="shared" si="17"/>
        <v>-</v>
      </c>
      <c r="F58" s="206"/>
      <c r="G58" s="843"/>
      <c r="H58" s="339"/>
      <c r="I58" s="1548" t="s">
        <v>461</v>
      </c>
      <c r="J58" s="1549"/>
      <c r="K58" s="1549"/>
      <c r="L58" s="350">
        <v>300</v>
      </c>
      <c r="M58" s="1595" t="str">
        <f>"ml (300 nom. per 4.5 litres of finished wine) i.e. "&amp;1*FIXED(L58*E8/4.5,0)&amp;"ml for "&amp;E8&amp;" liters"</f>
        <v>ml (300 nom. per 4.5 litres of finished wine) i.e. 300ml for 4.5 liters</v>
      </c>
      <c r="N58" s="1596"/>
      <c r="O58" s="1596"/>
      <c r="P58" s="1596"/>
      <c r="Q58" s="1596"/>
      <c r="R58" s="1596"/>
      <c r="S58" s="1597"/>
      <c r="T58" s="865"/>
      <c r="U58" s="751" t="s">
        <v>53</v>
      </c>
      <c r="V58" s="753" t="s">
        <v>57</v>
      </c>
      <c r="W58" s="52" t="s">
        <v>54</v>
      </c>
      <c r="X58" s="78"/>
      <c r="Y58" s="22"/>
      <c r="Z58" s="65" t="s">
        <v>462</v>
      </c>
      <c r="AA58" s="65" t="s">
        <v>376</v>
      </c>
      <c r="AB58" s="507">
        <v>8</v>
      </c>
      <c r="AC58" s="507">
        <v>0.45</v>
      </c>
      <c r="AD58" s="42">
        <v>0.1</v>
      </c>
      <c r="AE58" s="508">
        <v>10</v>
      </c>
      <c r="AF58" s="507">
        <v>0.7</v>
      </c>
      <c r="AG58" s="507">
        <v>210</v>
      </c>
      <c r="AH58" s="507">
        <v>194</v>
      </c>
      <c r="AI58" s="509">
        <v>0.03</v>
      </c>
      <c r="AJ58" s="509">
        <v>0.62</v>
      </c>
      <c r="AK58" s="478">
        <v>0</v>
      </c>
      <c r="AL58" s="478">
        <v>0.05</v>
      </c>
      <c r="AM58" s="508" t="s">
        <v>414</v>
      </c>
      <c r="AN58" s="819">
        <f t="shared" si="20"/>
        <v>0</v>
      </c>
      <c r="AO58" s="507">
        <f t="shared" si="21"/>
        <v>0</v>
      </c>
      <c r="AP58" s="820">
        <f t="shared" si="22"/>
        <v>0</v>
      </c>
      <c r="AQ58" s="820">
        <f t="shared" si="23"/>
        <v>0</v>
      </c>
      <c r="AR58" s="820">
        <f t="shared" si="24"/>
        <v>0</v>
      </c>
      <c r="AS58" s="820">
        <f t="shared" si="25"/>
        <v>0</v>
      </c>
      <c r="AT58" s="507">
        <f t="shared" si="26"/>
        <v>0</v>
      </c>
      <c r="AU58" s="507">
        <f t="shared" si="27"/>
        <v>0</v>
      </c>
      <c r="AV58" s="507">
        <f t="shared" si="28"/>
        <v>0</v>
      </c>
      <c r="AW58" s="507">
        <f t="shared" si="29"/>
        <v>0</v>
      </c>
      <c r="AX58" s="507">
        <f t="shared" si="30"/>
        <v>0</v>
      </c>
      <c r="AY58" s="507">
        <f t="shared" si="31"/>
        <v>0</v>
      </c>
      <c r="AZ58" s="817"/>
      <c r="BA58" s="817"/>
    </row>
    <row r="59" spans="1:53">
      <c r="A59" s="206">
        <v>7</v>
      </c>
      <c r="B59" s="206">
        <v>3</v>
      </c>
      <c r="C59" s="157">
        <v>0.13</v>
      </c>
      <c r="D59" s="915" t="str">
        <f t="shared" si="32"/>
        <v>NECTARINE</v>
      </c>
      <c r="E59" s="916" t="str">
        <f t="shared" si="17"/>
        <v>-</v>
      </c>
      <c r="F59" s="206"/>
      <c r="G59" s="843"/>
      <c r="H59" s="339"/>
      <c r="I59" s="1598" t="s">
        <v>463</v>
      </c>
      <c r="J59" s="1599"/>
      <c r="K59" s="1599"/>
      <c r="L59" s="346">
        <f>AN144</f>
        <v>0</v>
      </c>
      <c r="M59" s="1600" t="s">
        <v>868</v>
      </c>
      <c r="N59" s="1601"/>
      <c r="O59" s="1601"/>
      <c r="P59" s="1601"/>
      <c r="Q59" s="1601"/>
      <c r="R59" s="1601"/>
      <c r="S59" s="1602"/>
      <c r="T59" s="344"/>
      <c r="U59" s="752"/>
      <c r="V59" s="754">
        <v>8</v>
      </c>
      <c r="W59" s="52">
        <f t="shared" ref="W59:W66" si="33">1000*(U59+V59/16)*0.4536</f>
        <v>226.8</v>
      </c>
      <c r="X59" s="78"/>
      <c r="Y59" s="22"/>
      <c r="Z59" s="65" t="s">
        <v>464</v>
      </c>
      <c r="AA59" s="65" t="s">
        <v>376</v>
      </c>
      <c r="AB59" s="507">
        <v>8</v>
      </c>
      <c r="AC59" s="507">
        <v>0.7</v>
      </c>
      <c r="AD59" s="42">
        <v>0.1</v>
      </c>
      <c r="AE59" s="508">
        <v>11</v>
      </c>
      <c r="AF59" s="42">
        <v>0.3</v>
      </c>
      <c r="AG59" s="507">
        <v>150</v>
      </c>
      <c r="AH59" s="507">
        <v>200</v>
      </c>
      <c r="AI59" s="509">
        <v>3.4000000000000002E-2</v>
      </c>
      <c r="AJ59" s="509">
        <v>1.125</v>
      </c>
      <c r="AK59" s="509">
        <v>0.185</v>
      </c>
      <c r="AL59" s="509">
        <v>2.5000000000000001E-2</v>
      </c>
      <c r="AM59" s="508" t="s">
        <v>349</v>
      </c>
      <c r="AN59" s="819">
        <f t="shared" si="20"/>
        <v>0</v>
      </c>
      <c r="AO59" s="507">
        <f t="shared" si="21"/>
        <v>0</v>
      </c>
      <c r="AP59" s="820">
        <f t="shared" si="22"/>
        <v>0</v>
      </c>
      <c r="AQ59" s="820">
        <f t="shared" si="23"/>
        <v>0</v>
      </c>
      <c r="AR59" s="820">
        <f t="shared" si="24"/>
        <v>0</v>
      </c>
      <c r="AS59" s="820">
        <f t="shared" si="25"/>
        <v>0</v>
      </c>
      <c r="AT59" s="507">
        <f t="shared" si="26"/>
        <v>0</v>
      </c>
      <c r="AU59" s="507">
        <f t="shared" si="27"/>
        <v>0</v>
      </c>
      <c r="AV59" s="507">
        <f t="shared" si="28"/>
        <v>0</v>
      </c>
      <c r="AW59" s="507">
        <f t="shared" si="29"/>
        <v>0</v>
      </c>
      <c r="AX59" s="507">
        <f t="shared" si="30"/>
        <v>0</v>
      </c>
      <c r="AY59" s="507">
        <f t="shared" si="31"/>
        <v>0</v>
      </c>
      <c r="AZ59" s="817"/>
      <c r="BA59" s="817"/>
    </row>
    <row r="60" spans="1:53">
      <c r="A60" s="206">
        <v>7</v>
      </c>
      <c r="B60" s="206">
        <v>6</v>
      </c>
      <c r="C60" s="157">
        <v>0.13</v>
      </c>
      <c r="D60" s="915" t="str">
        <f t="shared" si="32"/>
        <v>ORANGE</v>
      </c>
      <c r="E60" s="916" t="str">
        <f t="shared" si="17"/>
        <v>FLESH</v>
      </c>
      <c r="F60" s="206"/>
      <c r="G60" s="843"/>
      <c r="H60" s="339"/>
      <c r="I60" s="1573" t="s">
        <v>465</v>
      </c>
      <c r="J60" s="1574"/>
      <c r="K60" s="1574"/>
      <c r="L60" s="347">
        <f>E8+0.001*(L58*E8/4.5+L59)</f>
        <v>4.8</v>
      </c>
      <c r="M60" s="1575" t="s">
        <v>466</v>
      </c>
      <c r="N60" s="1576"/>
      <c r="O60" s="1576"/>
      <c r="P60" s="1576"/>
      <c r="Q60" s="1576"/>
      <c r="R60" s="1576"/>
      <c r="S60" s="1577"/>
      <c r="T60" s="345"/>
      <c r="U60" s="752">
        <v>1</v>
      </c>
      <c r="V60" s="754"/>
      <c r="W60" s="52">
        <f t="shared" si="33"/>
        <v>453.6</v>
      </c>
      <c r="X60" s="78"/>
      <c r="Y60" s="22"/>
      <c r="Z60" s="65" t="s">
        <v>467</v>
      </c>
      <c r="AA60" s="65" t="s">
        <v>360</v>
      </c>
      <c r="AB60" s="507">
        <v>9.5</v>
      </c>
      <c r="AC60" s="507">
        <v>0.95</v>
      </c>
      <c r="AD60" s="42">
        <v>0.1</v>
      </c>
      <c r="AE60" s="508">
        <v>11.5</v>
      </c>
      <c r="AF60" s="507">
        <v>0.9</v>
      </c>
      <c r="AG60" s="42">
        <v>140</v>
      </c>
      <c r="AH60" s="507">
        <v>190</v>
      </c>
      <c r="AI60" s="509">
        <v>8.6999999999999994E-2</v>
      </c>
      <c r="AJ60" s="509">
        <v>0.04</v>
      </c>
      <c r="AK60" s="509">
        <v>0.25</v>
      </c>
      <c r="AL60" s="509">
        <v>0.06</v>
      </c>
      <c r="AM60" s="508" t="s">
        <v>377</v>
      </c>
      <c r="AN60" s="819">
        <f t="shared" si="20"/>
        <v>0</v>
      </c>
      <c r="AO60" s="507">
        <f t="shared" si="21"/>
        <v>0</v>
      </c>
      <c r="AP60" s="820">
        <f t="shared" si="22"/>
        <v>0</v>
      </c>
      <c r="AQ60" s="820">
        <f t="shared" si="23"/>
        <v>0</v>
      </c>
      <c r="AR60" s="820">
        <f t="shared" si="24"/>
        <v>0</v>
      </c>
      <c r="AS60" s="820">
        <f t="shared" si="25"/>
        <v>0</v>
      </c>
      <c r="AT60" s="507">
        <f t="shared" si="26"/>
        <v>0</v>
      </c>
      <c r="AU60" s="507">
        <f t="shared" si="27"/>
        <v>0</v>
      </c>
      <c r="AV60" s="507">
        <f t="shared" si="28"/>
        <v>0</v>
      </c>
      <c r="AW60" s="507">
        <f t="shared" si="29"/>
        <v>0</v>
      </c>
      <c r="AX60" s="507">
        <f t="shared" si="30"/>
        <v>0</v>
      </c>
      <c r="AY60" s="507">
        <f t="shared" si="31"/>
        <v>0</v>
      </c>
      <c r="AZ60" s="817"/>
      <c r="BA60" s="817"/>
    </row>
    <row r="61" spans="1:53">
      <c r="A61" s="206" t="s">
        <v>366</v>
      </c>
      <c r="B61" s="206">
        <v>3</v>
      </c>
      <c r="C61" s="157">
        <v>0</v>
      </c>
      <c r="D61" s="915" t="str">
        <f t="shared" si="32"/>
        <v xml:space="preserve">       "</v>
      </c>
      <c r="E61" s="916" t="str">
        <f t="shared" si="17"/>
        <v>JUICE</v>
      </c>
      <c r="F61" s="206"/>
      <c r="G61" s="843"/>
      <c r="H61" s="339"/>
      <c r="I61" s="1578" t="s">
        <v>468</v>
      </c>
      <c r="J61" s="1579"/>
      <c r="K61" s="1579"/>
      <c r="L61" s="348">
        <f>E8+(0.001*(L58*E8/4.5+L59))-0.001*L44</f>
        <v>4.8</v>
      </c>
      <c r="M61" s="1580" t="s">
        <v>469</v>
      </c>
      <c r="N61" s="1581"/>
      <c r="O61" s="1581"/>
      <c r="P61" s="1581"/>
      <c r="Q61" s="1581"/>
      <c r="R61" s="1581"/>
      <c r="S61" s="1582"/>
      <c r="T61" s="856"/>
      <c r="U61" s="752">
        <v>1</v>
      </c>
      <c r="V61" s="754">
        <v>8</v>
      </c>
      <c r="W61" s="52">
        <f t="shared" si="33"/>
        <v>680.4</v>
      </c>
      <c r="X61" s="843"/>
      <c r="Y61" s="22"/>
      <c r="Z61" s="65" t="s">
        <v>372</v>
      </c>
      <c r="AA61" s="65" t="s">
        <v>397</v>
      </c>
      <c r="AB61" s="507">
        <v>9.9</v>
      </c>
      <c r="AC61" s="507">
        <v>1.05</v>
      </c>
      <c r="AD61" s="42">
        <v>0.01</v>
      </c>
      <c r="AE61" s="508">
        <v>10.4</v>
      </c>
      <c r="AF61" s="507">
        <v>0.2</v>
      </c>
      <c r="AG61" s="507">
        <v>100</v>
      </c>
      <c r="AH61" s="507">
        <v>200</v>
      </c>
      <c r="AI61" s="509">
        <v>0.12</v>
      </c>
      <c r="AJ61" s="509">
        <v>0.9</v>
      </c>
      <c r="AK61" s="509">
        <v>0.49</v>
      </c>
      <c r="AL61" s="509">
        <v>0.17599999999999999</v>
      </c>
      <c r="AM61" s="508" t="s">
        <v>377</v>
      </c>
      <c r="AN61" s="819">
        <f t="shared" si="20"/>
        <v>0</v>
      </c>
      <c r="AO61" s="507">
        <f t="shared" si="21"/>
        <v>0</v>
      </c>
      <c r="AP61" s="820">
        <f t="shared" si="22"/>
        <v>0</v>
      </c>
      <c r="AQ61" s="820">
        <f t="shared" si="23"/>
        <v>0</v>
      </c>
      <c r="AR61" s="820">
        <f t="shared" si="24"/>
        <v>0</v>
      </c>
      <c r="AS61" s="820">
        <f t="shared" si="25"/>
        <v>0</v>
      </c>
      <c r="AT61" s="507">
        <f t="shared" si="26"/>
        <v>0</v>
      </c>
      <c r="AU61" s="507">
        <f t="shared" si="27"/>
        <v>0</v>
      </c>
      <c r="AV61" s="507">
        <f t="shared" si="28"/>
        <v>0</v>
      </c>
      <c r="AW61" s="507">
        <f t="shared" si="29"/>
        <v>0</v>
      </c>
      <c r="AX61" s="507">
        <f t="shared" si="30"/>
        <v>0</v>
      </c>
      <c r="AY61" s="507">
        <f t="shared" si="31"/>
        <v>0</v>
      </c>
      <c r="AZ61" s="817"/>
      <c r="BA61" s="817"/>
    </row>
    <row r="62" spans="1:53">
      <c r="A62" s="206">
        <v>7</v>
      </c>
      <c r="B62" s="206">
        <v>3</v>
      </c>
      <c r="C62" s="157">
        <v>0</v>
      </c>
      <c r="D62" s="915" t="str">
        <f t="shared" si="32"/>
        <v>OTHER</v>
      </c>
      <c r="E62" s="916" t="str">
        <f t="shared" si="17"/>
        <v>-</v>
      </c>
      <c r="F62" s="206"/>
      <c r="G62" s="843"/>
      <c r="H62" s="339"/>
      <c r="I62" s="1583" t="s">
        <v>105</v>
      </c>
      <c r="J62" s="1357"/>
      <c r="K62" s="1358"/>
      <c r="L62" s="348">
        <f>L61-0.001*(L58*E8/4.5+L59)</f>
        <v>4.5</v>
      </c>
      <c r="M62" s="1584" t="s">
        <v>473</v>
      </c>
      <c r="N62" s="1585"/>
      <c r="O62" s="1585"/>
      <c r="P62" s="1585"/>
      <c r="Q62" s="1585"/>
      <c r="R62" s="1585"/>
      <c r="S62" s="1586"/>
      <c r="T62" s="343"/>
      <c r="U62" s="752">
        <v>2</v>
      </c>
      <c r="V62" s="754"/>
      <c r="W62" s="52">
        <f t="shared" si="33"/>
        <v>907.2</v>
      </c>
      <c r="X62" s="864"/>
      <c r="Y62" s="22"/>
      <c r="Z62" s="65" t="s">
        <v>474</v>
      </c>
      <c r="AA62" s="65" t="s">
        <v>376</v>
      </c>
      <c r="AB62" s="507">
        <v>0</v>
      </c>
      <c r="AC62" s="507">
        <v>0</v>
      </c>
      <c r="AD62" s="507">
        <v>0</v>
      </c>
      <c r="AE62" s="507">
        <v>0</v>
      </c>
      <c r="AF62" s="507">
        <v>0</v>
      </c>
      <c r="AG62" s="507">
        <v>0</v>
      </c>
      <c r="AH62" s="507">
        <v>0</v>
      </c>
      <c r="AI62" s="509">
        <v>0</v>
      </c>
      <c r="AJ62" s="509">
        <v>0</v>
      </c>
      <c r="AK62" s="509">
        <v>0</v>
      </c>
      <c r="AL62" s="509">
        <v>0</v>
      </c>
      <c r="AM62" s="508"/>
      <c r="AN62" s="819">
        <f t="shared" si="20"/>
        <v>0</v>
      </c>
      <c r="AO62" s="507">
        <f t="shared" si="21"/>
        <v>0</v>
      </c>
      <c r="AP62" s="820">
        <f t="shared" si="22"/>
        <v>0</v>
      </c>
      <c r="AQ62" s="820">
        <f t="shared" si="23"/>
        <v>0</v>
      </c>
      <c r="AR62" s="820">
        <f t="shared" si="24"/>
        <v>0</v>
      </c>
      <c r="AS62" s="820">
        <f t="shared" si="25"/>
        <v>0</v>
      </c>
      <c r="AT62" s="507">
        <f t="shared" si="26"/>
        <v>0</v>
      </c>
      <c r="AU62" s="507">
        <f t="shared" si="27"/>
        <v>0</v>
      </c>
      <c r="AV62" s="507">
        <f t="shared" si="28"/>
        <v>0</v>
      </c>
      <c r="AW62" s="507">
        <f t="shared" si="29"/>
        <v>0</v>
      </c>
      <c r="AX62" s="507">
        <f t="shared" si="30"/>
        <v>0</v>
      </c>
      <c r="AY62" s="507">
        <f t="shared" si="31"/>
        <v>0</v>
      </c>
      <c r="AZ62" s="817"/>
      <c r="BA62" s="817"/>
    </row>
    <row r="63" spans="1:53">
      <c r="A63" s="206">
        <v>7</v>
      </c>
      <c r="B63" s="206">
        <v>3</v>
      </c>
      <c r="C63" s="158">
        <v>0</v>
      </c>
      <c r="D63" s="915" t="str">
        <f t="shared" si="32"/>
        <v>OTHER</v>
      </c>
      <c r="E63" s="916" t="str">
        <f t="shared" si="17"/>
        <v>-</v>
      </c>
      <c r="F63" s="206"/>
      <c r="G63" s="843"/>
      <c r="H63" s="339"/>
      <c r="I63" s="1437" t="s">
        <v>475</v>
      </c>
      <c r="J63" s="1526"/>
      <c r="K63" s="1438"/>
      <c r="L63" s="368">
        <f>1000+R27*375/(1000*L61)</f>
        <v>1074.765625</v>
      </c>
      <c r="M63" s="1587" t="str">
        <f>"(Initial must acidity "&amp;FIXED(S27/(10*L61))&amp;"%)"</f>
        <v>(Initial must acidity 0.44%)</v>
      </c>
      <c r="N63" s="1588"/>
      <c r="O63" s="1588"/>
      <c r="P63" s="1588"/>
      <c r="Q63" s="1588"/>
      <c r="R63" s="1588"/>
      <c r="S63" s="1589"/>
      <c r="T63" s="862"/>
      <c r="U63" s="752">
        <v>2</v>
      </c>
      <c r="V63" s="754">
        <v>8</v>
      </c>
      <c r="W63" s="256">
        <f t="shared" si="33"/>
        <v>1134</v>
      </c>
      <c r="X63" s="339"/>
      <c r="Y63" s="22"/>
      <c r="Z63" s="65" t="s">
        <v>474</v>
      </c>
      <c r="AA63" s="65" t="s">
        <v>376</v>
      </c>
      <c r="AB63" s="507">
        <v>0</v>
      </c>
      <c r="AC63" s="507">
        <v>0</v>
      </c>
      <c r="AD63" s="507">
        <v>0</v>
      </c>
      <c r="AE63" s="507">
        <v>0</v>
      </c>
      <c r="AF63" s="507">
        <v>0</v>
      </c>
      <c r="AG63" s="507">
        <v>0</v>
      </c>
      <c r="AH63" s="507">
        <v>0</v>
      </c>
      <c r="AI63" s="509">
        <v>0</v>
      </c>
      <c r="AJ63" s="509">
        <v>0</v>
      </c>
      <c r="AK63" s="509">
        <v>0</v>
      </c>
      <c r="AL63" s="509">
        <v>0</v>
      </c>
      <c r="AM63" s="508"/>
      <c r="AN63" s="819">
        <f t="shared" si="20"/>
        <v>0</v>
      </c>
      <c r="AO63" s="507">
        <f t="shared" si="21"/>
        <v>0</v>
      </c>
      <c r="AP63" s="820">
        <f t="shared" si="22"/>
        <v>0</v>
      </c>
      <c r="AQ63" s="820">
        <f t="shared" si="23"/>
        <v>0</v>
      </c>
      <c r="AR63" s="820">
        <f t="shared" si="24"/>
        <v>0</v>
      </c>
      <c r="AS63" s="820">
        <f t="shared" si="25"/>
        <v>0</v>
      </c>
      <c r="AT63" s="507">
        <f t="shared" si="26"/>
        <v>0</v>
      </c>
      <c r="AU63" s="507">
        <f t="shared" si="27"/>
        <v>0</v>
      </c>
      <c r="AV63" s="507">
        <f t="shared" si="28"/>
        <v>0</v>
      </c>
      <c r="AW63" s="507">
        <f t="shared" si="29"/>
        <v>0</v>
      </c>
      <c r="AX63" s="507">
        <f t="shared" si="30"/>
        <v>0</v>
      </c>
      <c r="AY63" s="507">
        <f t="shared" si="31"/>
        <v>0</v>
      </c>
      <c r="AZ63" s="817"/>
      <c r="BA63" s="817"/>
    </row>
    <row r="64" spans="1:53">
      <c r="A64" s="206">
        <v>7</v>
      </c>
      <c r="B64" s="206">
        <v>3</v>
      </c>
      <c r="C64" s="158">
        <v>0.14000000000000001</v>
      </c>
      <c r="D64" s="915" t="str">
        <f t="shared" si="32"/>
        <v>PAPAYA (Pawpaw)</v>
      </c>
      <c r="E64" s="916" t="str">
        <f t="shared" si="17"/>
        <v>-</v>
      </c>
      <c r="F64" s="206"/>
      <c r="G64" s="843"/>
      <c r="H64" s="339"/>
      <c r="I64" s="1584" t="s">
        <v>476</v>
      </c>
      <c r="J64" s="1585"/>
      <c r="K64" s="1586"/>
      <c r="L64" s="368">
        <f>L63-(1.079*0.375*R27/L61)</f>
        <v>994.09351562500001</v>
      </c>
      <c r="M64" s="1587" t="str">
        <f>"(Final must acidity "&amp;FIXED((S27/(10*L61)+0.15)*L62/E8)&amp;"%)"</f>
        <v>(Final must acidity 0.59%)</v>
      </c>
      <c r="N64" s="1588"/>
      <c r="O64" s="1588"/>
      <c r="P64" s="1588"/>
      <c r="Q64" s="1588"/>
      <c r="R64" s="1588"/>
      <c r="S64" s="1589"/>
      <c r="T64" s="862"/>
      <c r="U64" s="752">
        <v>3</v>
      </c>
      <c r="V64" s="754"/>
      <c r="W64" s="52">
        <f t="shared" si="33"/>
        <v>1360.8</v>
      </c>
      <c r="X64" s="864"/>
      <c r="Y64" s="22"/>
      <c r="Z64" s="65" t="s">
        <v>478</v>
      </c>
      <c r="AA64" s="65" t="s">
        <v>376</v>
      </c>
      <c r="AB64" s="507">
        <v>8</v>
      </c>
      <c r="AC64" s="507">
        <v>0.1</v>
      </c>
      <c r="AD64" s="42">
        <v>0.1</v>
      </c>
      <c r="AE64" s="508">
        <v>10</v>
      </c>
      <c r="AF64" s="42">
        <v>0.5</v>
      </c>
      <c r="AG64" s="42">
        <v>50</v>
      </c>
      <c r="AH64" s="507">
        <v>255</v>
      </c>
      <c r="AI64" s="509">
        <v>2.7E-2</v>
      </c>
      <c r="AJ64" s="509">
        <v>0.33800000000000002</v>
      </c>
      <c r="AK64" s="509">
        <v>0.218</v>
      </c>
      <c r="AL64" s="509">
        <v>1.9E-2</v>
      </c>
      <c r="AM64" s="508"/>
      <c r="AN64" s="819">
        <f t="shared" si="20"/>
        <v>0</v>
      </c>
      <c r="AO64" s="507">
        <f t="shared" si="21"/>
        <v>0</v>
      </c>
      <c r="AP64" s="820">
        <f t="shared" si="22"/>
        <v>0</v>
      </c>
      <c r="AQ64" s="820">
        <f t="shared" si="23"/>
        <v>0</v>
      </c>
      <c r="AR64" s="820">
        <f t="shared" si="24"/>
        <v>0</v>
      </c>
      <c r="AS64" s="820">
        <f t="shared" si="25"/>
        <v>0</v>
      </c>
      <c r="AT64" s="507">
        <f t="shared" si="26"/>
        <v>0</v>
      </c>
      <c r="AU64" s="507">
        <f t="shared" si="27"/>
        <v>0</v>
      </c>
      <c r="AV64" s="507">
        <f t="shared" si="28"/>
        <v>0</v>
      </c>
      <c r="AW64" s="507">
        <f t="shared" si="29"/>
        <v>0</v>
      </c>
      <c r="AX64" s="507">
        <f t="shared" si="30"/>
        <v>0</v>
      </c>
      <c r="AY64" s="507">
        <f t="shared" si="31"/>
        <v>0</v>
      </c>
      <c r="AZ64" s="817"/>
      <c r="BA64" s="817"/>
    </row>
    <row r="65" spans="1:53">
      <c r="A65" s="206">
        <v>7</v>
      </c>
      <c r="B65" s="206">
        <v>3</v>
      </c>
      <c r="C65" s="157">
        <v>0.28000000000000003</v>
      </c>
      <c r="D65" s="915" t="str">
        <f t="shared" si="32"/>
        <v>PASSION FRUIT</v>
      </c>
      <c r="E65" s="916" t="str">
        <f t="shared" si="17"/>
        <v>-</v>
      </c>
      <c r="F65" s="206"/>
      <c r="G65" s="843"/>
      <c r="H65" s="339"/>
      <c r="I65" s="1564" t="s">
        <v>479</v>
      </c>
      <c r="J65" s="1565"/>
      <c r="K65" s="1566"/>
      <c r="L65" s="349">
        <f>(L63-L64)/(7.75-(3*(L63-1000)/800))</f>
        <v>10.800015688530376</v>
      </c>
      <c r="M65" s="1567" t="str">
        <f>"(Must tannin "&amp;FIXED(T27/(10*L60))&amp;"%)"</f>
        <v>(Must tannin 0.05%)</v>
      </c>
      <c r="N65" s="1568"/>
      <c r="O65" s="1568"/>
      <c r="P65" s="1568"/>
      <c r="Q65" s="1568"/>
      <c r="R65" s="1568"/>
      <c r="S65" s="1569"/>
      <c r="T65" s="862"/>
      <c r="U65" s="752">
        <v>4.25</v>
      </c>
      <c r="V65" s="754"/>
      <c r="W65" s="52">
        <f t="shared" si="33"/>
        <v>1927.8</v>
      </c>
      <c r="X65" s="150"/>
      <c r="Y65" s="22"/>
      <c r="Z65" s="65" t="s">
        <v>480</v>
      </c>
      <c r="AA65" s="65" t="s">
        <v>376</v>
      </c>
      <c r="AB65" s="507">
        <v>6</v>
      </c>
      <c r="AC65" s="507">
        <v>3</v>
      </c>
      <c r="AD65" s="42">
        <v>0.1</v>
      </c>
      <c r="AE65" s="43">
        <v>10</v>
      </c>
      <c r="AF65" s="42">
        <v>0.5</v>
      </c>
      <c r="AG65" s="507">
        <v>440</v>
      </c>
      <c r="AH65" s="507">
        <v>350</v>
      </c>
      <c r="AI65" s="509">
        <v>0</v>
      </c>
      <c r="AJ65" s="509">
        <v>1.5</v>
      </c>
      <c r="AK65" s="509">
        <v>0</v>
      </c>
      <c r="AL65" s="509">
        <v>0.1</v>
      </c>
      <c r="AM65" s="508"/>
      <c r="AN65" s="819">
        <f t="shared" si="20"/>
        <v>0</v>
      </c>
      <c r="AO65" s="507">
        <f t="shared" si="21"/>
        <v>0</v>
      </c>
      <c r="AP65" s="820">
        <f t="shared" si="22"/>
        <v>0</v>
      </c>
      <c r="AQ65" s="820">
        <f t="shared" si="23"/>
        <v>0</v>
      </c>
      <c r="AR65" s="820">
        <f t="shared" si="24"/>
        <v>0</v>
      </c>
      <c r="AS65" s="820">
        <f t="shared" si="25"/>
        <v>0</v>
      </c>
      <c r="AT65" s="507">
        <f t="shared" si="26"/>
        <v>0</v>
      </c>
      <c r="AU65" s="507">
        <f t="shared" si="27"/>
        <v>0</v>
      </c>
      <c r="AV65" s="507">
        <f t="shared" si="28"/>
        <v>0</v>
      </c>
      <c r="AW65" s="507">
        <f t="shared" si="29"/>
        <v>0</v>
      </c>
      <c r="AX65" s="507">
        <f t="shared" si="30"/>
        <v>0</v>
      </c>
      <c r="AY65" s="507">
        <f t="shared" si="31"/>
        <v>0</v>
      </c>
      <c r="AZ65" s="817"/>
      <c r="BA65" s="817"/>
    </row>
    <row r="66" spans="1:53">
      <c r="A66" s="206">
        <v>7</v>
      </c>
      <c r="B66" s="206">
        <v>12</v>
      </c>
      <c r="C66" s="157">
        <v>0.12</v>
      </c>
      <c r="D66" s="915" t="str">
        <f t="shared" si="32"/>
        <v>PEACH</v>
      </c>
      <c r="E66" s="916" t="str">
        <f t="shared" si="17"/>
        <v>FLESH</v>
      </c>
      <c r="F66" s="206"/>
      <c r="G66" s="843"/>
      <c r="H66" s="339"/>
      <c r="I66" s="861"/>
      <c r="J66" s="861"/>
      <c r="K66" s="861"/>
      <c r="L66" s="339"/>
      <c r="M66" s="339"/>
      <c r="N66" s="339"/>
      <c r="O66" s="339"/>
      <c r="P66" s="339"/>
      <c r="Q66" s="339"/>
      <c r="R66" s="339"/>
      <c r="S66" s="862"/>
      <c r="T66" s="862"/>
      <c r="U66" s="752"/>
      <c r="V66" s="754">
        <v>0.111</v>
      </c>
      <c r="W66" s="52">
        <f t="shared" si="33"/>
        <v>3.1468500000000001</v>
      </c>
      <c r="X66" s="867"/>
      <c r="Y66" s="22"/>
      <c r="Z66" s="65" t="s">
        <v>481</v>
      </c>
      <c r="AA66" s="65" t="s">
        <v>360</v>
      </c>
      <c r="AB66" s="507">
        <v>8.5</v>
      </c>
      <c r="AC66" s="507">
        <v>0.65</v>
      </c>
      <c r="AD66" s="507">
        <v>0.1</v>
      </c>
      <c r="AE66" s="508">
        <v>14</v>
      </c>
      <c r="AF66" s="507">
        <v>0.4</v>
      </c>
      <c r="AG66" s="507">
        <v>100</v>
      </c>
      <c r="AH66" s="507">
        <v>190</v>
      </c>
      <c r="AI66" s="509">
        <v>2.4E-2</v>
      </c>
      <c r="AJ66" s="509">
        <v>0.80600000000000005</v>
      </c>
      <c r="AK66" s="509">
        <v>0.153</v>
      </c>
      <c r="AL66" s="509">
        <v>2.5000000000000001E-2</v>
      </c>
      <c r="AM66" s="508" t="s">
        <v>349</v>
      </c>
      <c r="AN66" s="819">
        <f t="shared" si="20"/>
        <v>0</v>
      </c>
      <c r="AO66" s="507">
        <f t="shared" si="21"/>
        <v>0</v>
      </c>
      <c r="AP66" s="820">
        <f t="shared" si="22"/>
        <v>0</v>
      </c>
      <c r="AQ66" s="820">
        <f t="shared" si="23"/>
        <v>0</v>
      </c>
      <c r="AR66" s="820">
        <f t="shared" si="24"/>
        <v>0</v>
      </c>
      <c r="AS66" s="820">
        <f t="shared" si="25"/>
        <v>0</v>
      </c>
      <c r="AT66" s="507">
        <f t="shared" si="26"/>
        <v>0</v>
      </c>
      <c r="AU66" s="507">
        <f t="shared" si="27"/>
        <v>0</v>
      </c>
      <c r="AV66" s="507">
        <f t="shared" si="28"/>
        <v>0</v>
      </c>
      <c r="AW66" s="507">
        <f t="shared" si="29"/>
        <v>0</v>
      </c>
      <c r="AX66" s="507">
        <f t="shared" si="30"/>
        <v>0</v>
      </c>
      <c r="AY66" s="507">
        <f t="shared" si="31"/>
        <v>0</v>
      </c>
      <c r="AZ66" s="817"/>
      <c r="BA66" s="817"/>
    </row>
    <row r="67" spans="1:53">
      <c r="A67" s="206">
        <v>7</v>
      </c>
      <c r="B67" s="206">
        <v>6</v>
      </c>
      <c r="C67" s="157">
        <v>0.92</v>
      </c>
      <c r="D67" s="915" t="str">
        <f t="shared" si="32"/>
        <v xml:space="preserve">      "</v>
      </c>
      <c r="E67" s="916" t="str">
        <f t="shared" si="17"/>
        <v>DRIED</v>
      </c>
      <c r="F67" s="206"/>
      <c r="G67" s="843"/>
      <c r="H67" s="339"/>
      <c r="I67" s="865"/>
      <c r="J67" s="865"/>
      <c r="K67" s="865"/>
      <c r="L67" s="865"/>
      <c r="M67" s="865"/>
      <c r="N67" s="865"/>
      <c r="O67" s="865"/>
      <c r="P67" s="865"/>
      <c r="Q67" s="862"/>
      <c r="R67" s="862"/>
      <c r="S67" s="862"/>
      <c r="T67" s="862"/>
      <c r="U67" s="865"/>
      <c r="V67" s="865"/>
      <c r="W67" s="865"/>
      <c r="X67" s="151"/>
      <c r="Y67" s="22"/>
      <c r="Z67" s="65" t="s">
        <v>352</v>
      </c>
      <c r="AA67" s="65" t="s">
        <v>364</v>
      </c>
      <c r="AB67" s="507">
        <v>52</v>
      </c>
      <c r="AC67" s="507">
        <v>1</v>
      </c>
      <c r="AD67" s="42">
        <v>0.5</v>
      </c>
      <c r="AE67" s="508">
        <v>61</v>
      </c>
      <c r="AF67" s="42">
        <v>2.4</v>
      </c>
      <c r="AG67" s="42">
        <v>50</v>
      </c>
      <c r="AH67" s="507">
        <v>995</v>
      </c>
      <c r="AI67" s="509">
        <v>2E-3</v>
      </c>
      <c r="AJ67" s="509">
        <v>4.375</v>
      </c>
      <c r="AK67" s="509">
        <v>0.56399999999999995</v>
      </c>
      <c r="AL67" s="509">
        <v>6.7000000000000004E-2</v>
      </c>
      <c r="AM67" s="508" t="s">
        <v>349</v>
      </c>
      <c r="AN67" s="819">
        <f t="shared" si="20"/>
        <v>0</v>
      </c>
      <c r="AO67" s="507">
        <f t="shared" si="21"/>
        <v>0</v>
      </c>
      <c r="AP67" s="820">
        <f t="shared" si="22"/>
        <v>0</v>
      </c>
      <c r="AQ67" s="820">
        <f t="shared" si="23"/>
        <v>0</v>
      </c>
      <c r="AR67" s="820">
        <f t="shared" si="24"/>
        <v>0</v>
      </c>
      <c r="AS67" s="820">
        <f t="shared" si="25"/>
        <v>0</v>
      </c>
      <c r="AT67" s="507">
        <f t="shared" si="26"/>
        <v>0</v>
      </c>
      <c r="AU67" s="507">
        <f t="shared" si="27"/>
        <v>0</v>
      </c>
      <c r="AV67" s="507">
        <f t="shared" si="28"/>
        <v>0</v>
      </c>
      <c r="AW67" s="507">
        <f t="shared" si="29"/>
        <v>0</v>
      </c>
      <c r="AX67" s="507">
        <f t="shared" si="30"/>
        <v>0</v>
      </c>
      <c r="AY67" s="507">
        <f t="shared" si="31"/>
        <v>0</v>
      </c>
      <c r="AZ67" s="816"/>
      <c r="BA67" s="824"/>
    </row>
    <row r="68" spans="1:53">
      <c r="A68" s="206">
        <v>7</v>
      </c>
      <c r="B68" s="206">
        <v>18</v>
      </c>
      <c r="C68" s="157">
        <v>0.15</v>
      </c>
      <c r="D68" s="915" t="str">
        <f t="shared" si="32"/>
        <v>PEAR</v>
      </c>
      <c r="E68" s="916" t="str">
        <f t="shared" si="17"/>
        <v>-</v>
      </c>
      <c r="F68" s="206"/>
      <c r="G68" s="843"/>
      <c r="H68" s="830"/>
      <c r="I68" s="1572" t="s">
        <v>482</v>
      </c>
      <c r="J68" s="1572"/>
      <c r="K68" s="1572"/>
      <c r="L68" s="1572"/>
      <c r="M68" s="142"/>
      <c r="N68" s="142"/>
      <c r="O68" s="142"/>
      <c r="P68" s="142"/>
      <c r="Q68" s="142"/>
      <c r="R68" s="862"/>
      <c r="S68" s="862"/>
      <c r="T68" s="862"/>
      <c r="U68" s="52" t="s">
        <v>483</v>
      </c>
      <c r="V68" s="52" t="s">
        <v>484</v>
      </c>
      <c r="W68" s="52" t="s">
        <v>485</v>
      </c>
      <c r="X68" s="864"/>
      <c r="Y68" s="22"/>
      <c r="Z68" s="65" t="s">
        <v>486</v>
      </c>
      <c r="AA68" s="65" t="s">
        <v>376</v>
      </c>
      <c r="AB68" s="507">
        <v>10</v>
      </c>
      <c r="AC68" s="507">
        <v>0.3</v>
      </c>
      <c r="AD68" s="507">
        <v>0.1</v>
      </c>
      <c r="AE68" s="508">
        <v>15</v>
      </c>
      <c r="AF68" s="507">
        <v>0.9</v>
      </c>
      <c r="AG68" s="507">
        <v>40</v>
      </c>
      <c r="AH68" s="507">
        <v>119</v>
      </c>
      <c r="AI68" s="509">
        <v>1.2E-2</v>
      </c>
      <c r="AJ68" s="509">
        <v>0.157</v>
      </c>
      <c r="AK68" s="509">
        <v>4.8000000000000001E-2</v>
      </c>
      <c r="AL68" s="509">
        <v>2.8000000000000001E-2</v>
      </c>
      <c r="AM68" s="508" t="s">
        <v>349</v>
      </c>
      <c r="AN68" s="819">
        <f t="shared" si="20"/>
        <v>0</v>
      </c>
      <c r="AO68" s="507">
        <f t="shared" si="21"/>
        <v>0</v>
      </c>
      <c r="AP68" s="820">
        <f t="shared" si="22"/>
        <v>0</v>
      </c>
      <c r="AQ68" s="820">
        <f t="shared" si="23"/>
        <v>0</v>
      </c>
      <c r="AR68" s="820">
        <f t="shared" si="24"/>
        <v>0</v>
      </c>
      <c r="AS68" s="820">
        <f t="shared" si="25"/>
        <v>0</v>
      </c>
      <c r="AT68" s="507">
        <f t="shared" si="26"/>
        <v>0</v>
      </c>
      <c r="AU68" s="507">
        <f t="shared" si="27"/>
        <v>0</v>
      </c>
      <c r="AV68" s="507">
        <f t="shared" si="28"/>
        <v>0</v>
      </c>
      <c r="AW68" s="507">
        <f t="shared" si="29"/>
        <v>0</v>
      </c>
      <c r="AX68" s="507">
        <f t="shared" si="30"/>
        <v>0</v>
      </c>
      <c r="AY68" s="507">
        <f t="shared" si="31"/>
        <v>0</v>
      </c>
      <c r="AZ68" s="816"/>
      <c r="BA68" s="824"/>
    </row>
    <row r="69" spans="1:53">
      <c r="A69" s="206">
        <v>7</v>
      </c>
      <c r="B69" s="206">
        <v>3</v>
      </c>
      <c r="C69" s="157">
        <v>0.25</v>
      </c>
      <c r="D69" s="915" t="str">
        <f t="shared" si="32"/>
        <v>PERSIMMON (Sharon fruit)</v>
      </c>
      <c r="E69" s="916" t="str">
        <f t="shared" si="17"/>
        <v>-</v>
      </c>
      <c r="F69" s="206"/>
      <c r="G69" s="843"/>
      <c r="H69" s="339"/>
      <c r="I69" s="1530" t="s">
        <v>487</v>
      </c>
      <c r="J69" s="1531"/>
      <c r="K69" s="1532"/>
      <c r="L69" s="322">
        <v>750</v>
      </c>
      <c r="M69" s="329">
        <v>125</v>
      </c>
      <c r="N69" s="1570" t="s">
        <v>488</v>
      </c>
      <c r="O69" s="1571"/>
      <c r="P69" s="1571"/>
      <c r="Q69" s="1571"/>
      <c r="R69" s="1571"/>
      <c r="S69" s="142"/>
      <c r="T69" s="862"/>
      <c r="U69" s="485">
        <v>1</v>
      </c>
      <c r="V69" s="84">
        <f>3.7854*W69/8</f>
        <v>0.56781000000000004</v>
      </c>
      <c r="W69" s="84">
        <f>U69*(6/5)</f>
        <v>1.2</v>
      </c>
      <c r="X69" s="865"/>
      <c r="Y69" s="22"/>
      <c r="Z69" s="65" t="s">
        <v>489</v>
      </c>
      <c r="AA69" s="65" t="s">
        <v>376</v>
      </c>
      <c r="AB69" s="507">
        <v>14</v>
      </c>
      <c r="AC69" s="507">
        <v>0.2</v>
      </c>
      <c r="AD69" s="42">
        <v>0.1</v>
      </c>
      <c r="AE69" s="508">
        <v>19</v>
      </c>
      <c r="AF69" s="42">
        <v>0.5</v>
      </c>
      <c r="AG69" s="42">
        <v>50</v>
      </c>
      <c r="AH69" s="507">
        <v>160</v>
      </c>
      <c r="AI69" s="509">
        <v>0.03</v>
      </c>
      <c r="AJ69" s="509">
        <v>0.1</v>
      </c>
      <c r="AK69" s="509">
        <v>0</v>
      </c>
      <c r="AL69" s="509">
        <v>0.1</v>
      </c>
      <c r="AM69" s="508"/>
      <c r="AN69" s="819">
        <f t="shared" si="20"/>
        <v>0</v>
      </c>
      <c r="AO69" s="507">
        <f t="shared" si="21"/>
        <v>0</v>
      </c>
      <c r="AP69" s="820">
        <f t="shared" si="22"/>
        <v>0</v>
      </c>
      <c r="AQ69" s="820">
        <f t="shared" si="23"/>
        <v>0</v>
      </c>
      <c r="AR69" s="820">
        <f t="shared" si="24"/>
        <v>0</v>
      </c>
      <c r="AS69" s="820">
        <f t="shared" si="25"/>
        <v>0</v>
      </c>
      <c r="AT69" s="507">
        <f t="shared" si="26"/>
        <v>0</v>
      </c>
      <c r="AU69" s="507">
        <f t="shared" si="27"/>
        <v>0</v>
      </c>
      <c r="AV69" s="507">
        <f t="shared" si="28"/>
        <v>0</v>
      </c>
      <c r="AW69" s="507">
        <f t="shared" si="29"/>
        <v>0</v>
      </c>
      <c r="AX69" s="507">
        <f t="shared" si="30"/>
        <v>0</v>
      </c>
      <c r="AY69" s="507">
        <f t="shared" si="31"/>
        <v>0</v>
      </c>
      <c r="AZ69" s="816"/>
      <c r="BA69" s="824"/>
    </row>
    <row r="70" spans="1:53">
      <c r="A70" s="206">
        <v>7</v>
      </c>
      <c r="B70" s="206">
        <v>6</v>
      </c>
      <c r="C70" s="157">
        <v>0.18</v>
      </c>
      <c r="D70" s="915" t="str">
        <f t="shared" si="32"/>
        <v>PINEAPPLE</v>
      </c>
      <c r="E70" s="916" t="str">
        <f t="shared" si="17"/>
        <v>-</v>
      </c>
      <c r="F70" s="206"/>
      <c r="G70" s="843"/>
      <c r="H70" s="339"/>
      <c r="I70" s="1533" t="s">
        <v>490</v>
      </c>
      <c r="J70" s="1534"/>
      <c r="K70" s="1535"/>
      <c r="L70" s="317" t="str">
        <f>FIXED(Q93*L69,0)</f>
        <v>452</v>
      </c>
      <c r="M70" s="330" t="str">
        <f>FIXED(Q93*M69,0)</f>
        <v>75</v>
      </c>
      <c r="N70" s="327"/>
      <c r="O70" s="327"/>
      <c r="P70" s="327"/>
      <c r="Q70" s="328"/>
      <c r="R70" s="339"/>
      <c r="S70" s="339"/>
      <c r="T70" s="862"/>
      <c r="U70" s="485">
        <v>2</v>
      </c>
      <c r="V70" s="84">
        <f>3.7854*W70/8</f>
        <v>1.1356200000000001</v>
      </c>
      <c r="W70" s="84">
        <f>U70*(6/5)</f>
        <v>2.4</v>
      </c>
      <c r="X70" s="861"/>
      <c r="Y70" s="51"/>
      <c r="Z70" s="65" t="s">
        <v>491</v>
      </c>
      <c r="AA70" s="65" t="s">
        <v>376</v>
      </c>
      <c r="AB70" s="507">
        <v>12</v>
      </c>
      <c r="AC70" s="507">
        <v>1.1000000000000001</v>
      </c>
      <c r="AD70" s="42">
        <v>0.2</v>
      </c>
      <c r="AE70" s="508">
        <v>13</v>
      </c>
      <c r="AF70" s="507">
        <v>0.1</v>
      </c>
      <c r="AG70" s="507">
        <v>80</v>
      </c>
      <c r="AH70" s="507">
        <v>110</v>
      </c>
      <c r="AI70" s="509">
        <v>7.9000000000000001E-2</v>
      </c>
      <c r="AJ70" s="509">
        <v>0.5</v>
      </c>
      <c r="AK70" s="509">
        <v>0.21299999999999999</v>
      </c>
      <c r="AL70" s="509">
        <v>0.112</v>
      </c>
      <c r="AM70" s="508" t="s">
        <v>377</v>
      </c>
      <c r="AN70" s="819">
        <f t="shared" si="20"/>
        <v>0</v>
      </c>
      <c r="AO70" s="507">
        <f t="shared" si="21"/>
        <v>0</v>
      </c>
      <c r="AP70" s="820">
        <f t="shared" si="22"/>
        <v>0</v>
      </c>
      <c r="AQ70" s="820">
        <f t="shared" si="23"/>
        <v>0</v>
      </c>
      <c r="AR70" s="820">
        <f t="shared" si="24"/>
        <v>0</v>
      </c>
      <c r="AS70" s="820">
        <f t="shared" si="25"/>
        <v>0</v>
      </c>
      <c r="AT70" s="507">
        <f t="shared" si="26"/>
        <v>0</v>
      </c>
      <c r="AU70" s="507">
        <f t="shared" si="27"/>
        <v>0</v>
      </c>
      <c r="AV70" s="507">
        <f t="shared" si="28"/>
        <v>0</v>
      </c>
      <c r="AW70" s="507">
        <f t="shared" si="29"/>
        <v>0</v>
      </c>
      <c r="AX70" s="507">
        <f t="shared" si="30"/>
        <v>0</v>
      </c>
      <c r="AY70" s="507">
        <f t="shared" si="31"/>
        <v>0</v>
      </c>
      <c r="AZ70" s="816"/>
      <c r="BA70" s="824"/>
    </row>
    <row r="71" spans="1:53">
      <c r="A71" s="206">
        <v>7</v>
      </c>
      <c r="B71" s="206">
        <v>24</v>
      </c>
      <c r="C71" s="157">
        <v>0.14000000000000001</v>
      </c>
      <c r="D71" s="915" t="str">
        <f t="shared" si="32"/>
        <v>PLUM</v>
      </c>
      <c r="E71" s="916" t="str">
        <f t="shared" si="17"/>
        <v>EATING</v>
      </c>
      <c r="F71" s="206"/>
      <c r="G71" s="843"/>
      <c r="H71" s="339"/>
      <c r="I71" s="1536" t="s">
        <v>492</v>
      </c>
      <c r="J71" s="1468"/>
      <c r="K71" s="1537"/>
      <c r="L71" s="871" t="str">
        <f>FIXED((L69*S91*L43/(1000*E8)),0)</f>
        <v>0</v>
      </c>
      <c r="M71" s="872" t="str">
        <f>FIXED((M69*S91*L43/(1000*E8)),0)</f>
        <v>0</v>
      </c>
      <c r="N71" s="328"/>
      <c r="O71" s="328"/>
      <c r="P71" s="328"/>
      <c r="Q71" s="328"/>
      <c r="R71" s="328"/>
      <c r="S71" s="844"/>
      <c r="T71" s="862"/>
      <c r="U71" s="485">
        <v>10.57</v>
      </c>
      <c r="V71" s="84">
        <f>3.7854*W71/8</f>
        <v>6.0017516999999998</v>
      </c>
      <c r="W71" s="84">
        <f>U71*(6/5)</f>
        <v>12.683999999999999</v>
      </c>
      <c r="X71" s="327"/>
      <c r="Y71" s="51"/>
      <c r="Z71" s="65" t="s">
        <v>493</v>
      </c>
      <c r="AA71" s="65" t="s">
        <v>348</v>
      </c>
      <c r="AB71" s="507">
        <v>10</v>
      </c>
      <c r="AC71" s="42">
        <v>1.5</v>
      </c>
      <c r="AD71" s="507">
        <v>0.15</v>
      </c>
      <c r="AE71" s="508">
        <v>11</v>
      </c>
      <c r="AF71" s="507">
        <v>0.9</v>
      </c>
      <c r="AG71" s="507">
        <v>90</v>
      </c>
      <c r="AH71" s="507">
        <v>155</v>
      </c>
      <c r="AI71" s="509">
        <v>2.8000000000000001E-2</v>
      </c>
      <c r="AJ71" s="509">
        <v>0.41699999999999998</v>
      </c>
      <c r="AK71" s="509">
        <v>0.13500000000000001</v>
      </c>
      <c r="AL71" s="509">
        <v>2.9000000000000001E-2</v>
      </c>
      <c r="AM71" s="508" t="s">
        <v>349</v>
      </c>
      <c r="AN71" s="819">
        <f t="shared" si="20"/>
        <v>0</v>
      </c>
      <c r="AO71" s="507">
        <f t="shared" si="21"/>
        <v>0</v>
      </c>
      <c r="AP71" s="820">
        <f t="shared" si="22"/>
        <v>0</v>
      </c>
      <c r="AQ71" s="820">
        <f t="shared" si="23"/>
        <v>0</v>
      </c>
      <c r="AR71" s="820">
        <f t="shared" si="24"/>
        <v>0</v>
      </c>
      <c r="AS71" s="820">
        <f t="shared" si="25"/>
        <v>0</v>
      </c>
      <c r="AT71" s="507">
        <f t="shared" si="26"/>
        <v>0</v>
      </c>
      <c r="AU71" s="507">
        <f t="shared" si="27"/>
        <v>0</v>
      </c>
      <c r="AV71" s="507">
        <f t="shared" si="28"/>
        <v>0</v>
      </c>
      <c r="AW71" s="507">
        <f t="shared" si="29"/>
        <v>0</v>
      </c>
      <c r="AX71" s="507">
        <f t="shared" si="30"/>
        <v>0</v>
      </c>
      <c r="AY71" s="507">
        <f t="shared" si="31"/>
        <v>0</v>
      </c>
      <c r="AZ71" s="816"/>
      <c r="BA71" s="824"/>
    </row>
    <row r="72" spans="1:53">
      <c r="A72" s="206">
        <v>7</v>
      </c>
      <c r="B72" s="206">
        <v>24</v>
      </c>
      <c r="C72" s="157">
        <v>0.14000000000000001</v>
      </c>
      <c r="D72" s="915" t="str">
        <f t="shared" si="32"/>
        <v xml:space="preserve">     "</v>
      </c>
      <c r="E72" s="916" t="str">
        <f t="shared" si="17"/>
        <v>COOKING</v>
      </c>
      <c r="F72" s="206"/>
      <c r="G72" s="843"/>
      <c r="H72" s="339"/>
      <c r="I72" s="1505" t="s">
        <v>494</v>
      </c>
      <c r="J72" s="1506"/>
      <c r="K72" s="1507"/>
      <c r="L72" s="324" t="str">
        <f>FIXED((Q94*L69*S91),1)</f>
        <v>2.1</v>
      </c>
      <c r="M72" s="331" t="str">
        <f>FIXED((Q94*M69*S91),1)</f>
        <v>0.4</v>
      </c>
      <c r="N72" s="863"/>
      <c r="O72" s="863"/>
      <c r="P72" s="863"/>
      <c r="Q72" s="328"/>
      <c r="R72" s="339"/>
      <c r="S72" s="339"/>
      <c r="T72" s="862"/>
      <c r="U72" s="895"/>
      <c r="V72" s="863"/>
      <c r="W72" s="863"/>
      <c r="X72" s="328"/>
      <c r="Y72" s="51"/>
      <c r="Z72" s="65" t="s">
        <v>495</v>
      </c>
      <c r="AA72" s="65" t="s">
        <v>353</v>
      </c>
      <c r="AB72" s="507">
        <v>7</v>
      </c>
      <c r="AC72" s="507">
        <v>1.6</v>
      </c>
      <c r="AD72" s="507">
        <v>0.15</v>
      </c>
      <c r="AE72" s="43">
        <v>11</v>
      </c>
      <c r="AF72" s="507">
        <v>0.9</v>
      </c>
      <c r="AG72" s="507">
        <v>90</v>
      </c>
      <c r="AH72" s="507">
        <v>155</v>
      </c>
      <c r="AI72" s="509">
        <v>2.8000000000000001E-2</v>
      </c>
      <c r="AJ72" s="509">
        <v>0.41699999999999998</v>
      </c>
      <c r="AK72" s="509">
        <v>0.13500000000000001</v>
      </c>
      <c r="AL72" s="509">
        <v>2.9000000000000001E-2</v>
      </c>
      <c r="AM72" s="508" t="s">
        <v>349</v>
      </c>
      <c r="AN72" s="819">
        <f t="shared" si="20"/>
        <v>0</v>
      </c>
      <c r="AO72" s="507">
        <f t="shared" si="21"/>
        <v>0</v>
      </c>
      <c r="AP72" s="820">
        <f t="shared" si="22"/>
        <v>0</v>
      </c>
      <c r="AQ72" s="820">
        <f t="shared" si="23"/>
        <v>0</v>
      </c>
      <c r="AR72" s="820">
        <f t="shared" si="24"/>
        <v>0</v>
      </c>
      <c r="AS72" s="820">
        <f t="shared" si="25"/>
        <v>0</v>
      </c>
      <c r="AT72" s="507">
        <f t="shared" si="26"/>
        <v>0</v>
      </c>
      <c r="AU72" s="507">
        <f t="shared" si="27"/>
        <v>0</v>
      </c>
      <c r="AV72" s="507">
        <f t="shared" si="28"/>
        <v>0</v>
      </c>
      <c r="AW72" s="507">
        <f t="shared" si="29"/>
        <v>0</v>
      </c>
      <c r="AX72" s="507">
        <f t="shared" si="30"/>
        <v>0</v>
      </c>
      <c r="AY72" s="507">
        <f t="shared" si="31"/>
        <v>0</v>
      </c>
      <c r="AZ72" s="816"/>
      <c r="BA72" s="824"/>
    </row>
    <row r="73" spans="1:53">
      <c r="A73" s="206">
        <v>7</v>
      </c>
      <c r="B73" s="206">
        <v>9</v>
      </c>
      <c r="C73" s="157">
        <v>0.69</v>
      </c>
      <c r="D73" s="915" t="str">
        <f t="shared" si="32"/>
        <v>PRUNES</v>
      </c>
      <c r="E73" s="916" t="str">
        <f t="shared" si="17"/>
        <v>-</v>
      </c>
      <c r="F73" s="206"/>
      <c r="G73" s="843"/>
      <c r="H73" s="339"/>
      <c r="I73" s="1508" t="s">
        <v>496</v>
      </c>
      <c r="J73" s="1509"/>
      <c r="K73" s="1510"/>
      <c r="L73" s="894">
        <f>L70+L71+L72</f>
        <v>454.1</v>
      </c>
      <c r="M73" s="894">
        <f>M70+M71+M72</f>
        <v>75.400000000000006</v>
      </c>
      <c r="N73" s="863"/>
      <c r="O73" s="863"/>
      <c r="P73" s="861"/>
      <c r="Q73" s="328"/>
      <c r="R73" s="328"/>
      <c r="S73" s="844"/>
      <c r="T73" s="862"/>
      <c r="U73" s="52" t="s">
        <v>485</v>
      </c>
      <c r="V73" s="52" t="s">
        <v>484</v>
      </c>
      <c r="W73" s="52" t="s">
        <v>483</v>
      </c>
      <c r="X73" s="863"/>
      <c r="Y73" s="51"/>
      <c r="Z73" s="65" t="s">
        <v>497</v>
      </c>
      <c r="AA73" s="65" t="s">
        <v>376</v>
      </c>
      <c r="AB73" s="507">
        <v>47</v>
      </c>
      <c r="AC73" s="507">
        <v>1.3</v>
      </c>
      <c r="AD73" s="42">
        <v>1</v>
      </c>
      <c r="AE73" s="43">
        <v>70</v>
      </c>
      <c r="AF73" s="42">
        <v>5.5</v>
      </c>
      <c r="AG73" s="42">
        <v>50</v>
      </c>
      <c r="AH73" s="507">
        <v>730</v>
      </c>
      <c r="AI73" s="509">
        <v>0.11799999999999999</v>
      </c>
      <c r="AJ73" s="509">
        <v>2.9950000000000001</v>
      </c>
      <c r="AK73" s="509">
        <v>0.41799999999999998</v>
      </c>
      <c r="AL73" s="509">
        <v>0.745</v>
      </c>
      <c r="AM73" s="508" t="s">
        <v>349</v>
      </c>
      <c r="AN73" s="819">
        <f>C73*F73</f>
        <v>0</v>
      </c>
      <c r="AO73" s="507">
        <f>F73*AB73/100</f>
        <v>0</v>
      </c>
      <c r="AP73" s="820">
        <f>F73*AC73/100</f>
        <v>0</v>
      </c>
      <c r="AQ73" s="820">
        <f>F73*AD73/100</f>
        <v>0</v>
      </c>
      <c r="AR73" s="820">
        <f>F73*(AE73-AB73)/100</f>
        <v>0</v>
      </c>
      <c r="AS73" s="820">
        <f>F73*AF73/1200</f>
        <v>0</v>
      </c>
      <c r="AT73" s="507">
        <f t="shared" ref="AT73:AY73" si="34">$F73*AG73/100</f>
        <v>0</v>
      </c>
      <c r="AU73" s="507">
        <f t="shared" si="34"/>
        <v>0</v>
      </c>
      <c r="AV73" s="507">
        <f t="shared" si="34"/>
        <v>0</v>
      </c>
      <c r="AW73" s="507">
        <f t="shared" si="34"/>
        <v>0</v>
      </c>
      <c r="AX73" s="507">
        <f t="shared" si="34"/>
        <v>0</v>
      </c>
      <c r="AY73" s="507">
        <f t="shared" si="34"/>
        <v>0</v>
      </c>
      <c r="AZ73" s="816"/>
      <c r="BA73" s="824"/>
    </row>
    <row r="74" spans="1:53">
      <c r="A74" s="206">
        <v>7</v>
      </c>
      <c r="B74" s="206">
        <v>12</v>
      </c>
      <c r="C74" s="157">
        <v>0.12</v>
      </c>
      <c r="D74" s="915" t="str">
        <f t="shared" si="32"/>
        <v>QUINCE</v>
      </c>
      <c r="E74" s="916" t="str">
        <f t="shared" si="17"/>
        <v>-</v>
      </c>
      <c r="F74" s="206"/>
      <c r="G74" s="843"/>
      <c r="H74" s="339"/>
      <c r="I74" s="1511" t="s">
        <v>498</v>
      </c>
      <c r="J74" s="1512"/>
      <c r="K74" s="1513"/>
      <c r="L74" s="318" t="str">
        <f>FIXED((Q94*L69)+(L69*L43/(1000*E8)),1)&amp;"g"</f>
        <v>0.6g</v>
      </c>
      <c r="M74" s="332" t="str">
        <f>FIXED((Q94*M69)+(M69*L43/(1000*E8)),1)&amp;"g"</f>
        <v>0.1g</v>
      </c>
      <c r="N74" s="863"/>
      <c r="O74" s="863"/>
      <c r="P74" s="339"/>
      <c r="Q74" s="328"/>
      <c r="R74" s="339"/>
      <c r="S74" s="339"/>
      <c r="T74" s="862"/>
      <c r="U74" s="485">
        <v>1</v>
      </c>
      <c r="V74" s="84">
        <f>3.7854*U74/8</f>
        <v>0.47317500000000001</v>
      </c>
      <c r="W74" s="84">
        <f>U74*(5/6)</f>
        <v>0.83333333333333337</v>
      </c>
      <c r="X74" s="861"/>
      <c r="Y74" s="51"/>
      <c r="Z74" s="65" t="s">
        <v>499</v>
      </c>
      <c r="AA74" s="65" t="s">
        <v>376</v>
      </c>
      <c r="AB74" s="507">
        <v>8</v>
      </c>
      <c r="AC74" s="507">
        <v>0.95</v>
      </c>
      <c r="AD74" s="507">
        <v>0.15</v>
      </c>
      <c r="AE74" s="508">
        <v>15</v>
      </c>
      <c r="AF74" s="507">
        <v>1.1000000000000001</v>
      </c>
      <c r="AG74" s="507">
        <v>50</v>
      </c>
      <c r="AH74" s="507">
        <v>190</v>
      </c>
      <c r="AI74" s="509">
        <v>0.02</v>
      </c>
      <c r="AJ74" s="509">
        <v>0.2</v>
      </c>
      <c r="AK74" s="509">
        <v>8.1000000000000003E-2</v>
      </c>
      <c r="AL74" s="509">
        <v>0.04</v>
      </c>
      <c r="AM74" s="508" t="s">
        <v>349</v>
      </c>
      <c r="AN74" s="819">
        <f t="shared" si="20"/>
        <v>0</v>
      </c>
      <c r="AO74" s="507">
        <f t="shared" si="21"/>
        <v>0</v>
      </c>
      <c r="AP74" s="820">
        <f t="shared" si="22"/>
        <v>0</v>
      </c>
      <c r="AQ74" s="820">
        <f t="shared" si="23"/>
        <v>0</v>
      </c>
      <c r="AR74" s="820">
        <f t="shared" si="24"/>
        <v>0</v>
      </c>
      <c r="AS74" s="820">
        <f t="shared" si="25"/>
        <v>0</v>
      </c>
      <c r="AT74" s="507">
        <f t="shared" si="26"/>
        <v>0</v>
      </c>
      <c r="AU74" s="507">
        <f t="shared" si="27"/>
        <v>0</v>
      </c>
      <c r="AV74" s="507">
        <f t="shared" si="28"/>
        <v>0</v>
      </c>
      <c r="AW74" s="507">
        <f t="shared" si="29"/>
        <v>0</v>
      </c>
      <c r="AX74" s="507">
        <f t="shared" si="30"/>
        <v>0</v>
      </c>
      <c r="AY74" s="507">
        <f t="shared" si="31"/>
        <v>0</v>
      </c>
      <c r="AZ74" s="816"/>
      <c r="BA74" s="824"/>
    </row>
    <row r="75" spans="1:53">
      <c r="A75" s="206">
        <v>7</v>
      </c>
      <c r="B75" s="206">
        <v>12</v>
      </c>
      <c r="C75" s="157">
        <v>0.23</v>
      </c>
      <c r="D75" s="915" t="str">
        <f t="shared" si="32"/>
        <v>RAISINS ̸ SULTANAS ̸ CURRANTS</v>
      </c>
      <c r="E75" s="916" t="str">
        <f t="shared" si="17"/>
        <v>-</v>
      </c>
      <c r="F75" s="206"/>
      <c r="G75" s="843"/>
      <c r="H75" s="339"/>
      <c r="I75" s="1514" t="s">
        <v>500</v>
      </c>
      <c r="J75" s="1515"/>
      <c r="K75" s="1516"/>
      <c r="L75" s="319" t="str">
        <f>FIXED(L69*L65*L62/E8/1000,1)</f>
        <v>8.1</v>
      </c>
      <c r="M75" s="333" t="str">
        <f>FIXED(M69*L65*L62/E8/1000,1)</f>
        <v>1.4</v>
      </c>
      <c r="N75" s="844"/>
      <c r="O75" s="844"/>
      <c r="P75" s="844"/>
      <c r="Q75" s="328"/>
      <c r="R75" s="328"/>
      <c r="S75" s="844"/>
      <c r="T75" s="862"/>
      <c r="U75" s="485">
        <v>2</v>
      </c>
      <c r="V75" s="84">
        <f>3.7854*U75/8</f>
        <v>0.94635000000000002</v>
      </c>
      <c r="W75" s="84">
        <f>U75*(5/6)</f>
        <v>1.6666666666666667</v>
      </c>
      <c r="X75" s="863"/>
      <c r="Y75" s="51"/>
      <c r="Z75" s="750" t="s">
        <v>501</v>
      </c>
      <c r="AA75" s="65" t="s">
        <v>376</v>
      </c>
      <c r="AB75" s="507">
        <v>67</v>
      </c>
      <c r="AC75" s="507">
        <v>2.2000000000000002</v>
      </c>
      <c r="AD75" s="42">
        <v>0.5</v>
      </c>
      <c r="AE75" s="508">
        <v>79</v>
      </c>
      <c r="AF75" s="42">
        <v>1.6</v>
      </c>
      <c r="AG75" s="42">
        <v>50</v>
      </c>
      <c r="AH75" s="507">
        <v>740</v>
      </c>
      <c r="AI75" s="509">
        <v>0.106</v>
      </c>
      <c r="AJ75" s="509">
        <v>0.76600000000000001</v>
      </c>
      <c r="AK75" s="509">
        <v>9.5000000000000001E-2</v>
      </c>
      <c r="AL75" s="509">
        <v>0.17399999999999999</v>
      </c>
      <c r="AM75" s="508" t="s">
        <v>414</v>
      </c>
      <c r="AN75" s="819">
        <f t="shared" si="20"/>
        <v>0</v>
      </c>
      <c r="AO75" s="507">
        <f t="shared" si="21"/>
        <v>0</v>
      </c>
      <c r="AP75" s="820">
        <f t="shared" si="22"/>
        <v>0</v>
      </c>
      <c r="AQ75" s="820">
        <f t="shared" si="23"/>
        <v>0</v>
      </c>
      <c r="AR75" s="820">
        <f t="shared" si="24"/>
        <v>0</v>
      </c>
      <c r="AS75" s="820">
        <f t="shared" si="25"/>
        <v>0</v>
      </c>
      <c r="AT75" s="507">
        <f t="shared" si="26"/>
        <v>0</v>
      </c>
      <c r="AU75" s="507">
        <f t="shared" si="27"/>
        <v>0</v>
      </c>
      <c r="AV75" s="507">
        <f t="shared" si="28"/>
        <v>0</v>
      </c>
      <c r="AW75" s="507">
        <f t="shared" si="29"/>
        <v>0</v>
      </c>
      <c r="AX75" s="507">
        <f t="shared" si="30"/>
        <v>0</v>
      </c>
      <c r="AY75" s="507">
        <f t="shared" si="31"/>
        <v>0</v>
      </c>
      <c r="AZ75" s="816"/>
      <c r="BA75" s="824"/>
    </row>
    <row r="76" spans="1:53">
      <c r="A76" s="206">
        <v>7</v>
      </c>
      <c r="B76" s="206">
        <v>12</v>
      </c>
      <c r="C76" s="157">
        <v>0.15</v>
      </c>
      <c r="D76" s="915" t="str">
        <f t="shared" si="32"/>
        <v>RASPBERRY</v>
      </c>
      <c r="E76" s="916" t="str">
        <f t="shared" si="17"/>
        <v>-</v>
      </c>
      <c r="F76" s="206"/>
      <c r="G76" s="843"/>
      <c r="H76" s="843"/>
      <c r="I76" s="843"/>
      <c r="J76" s="843"/>
      <c r="K76" s="843"/>
      <c r="L76" s="843"/>
      <c r="M76" s="843"/>
      <c r="N76" s="843"/>
      <c r="O76" s="843"/>
      <c r="P76" s="843"/>
      <c r="Q76" s="843"/>
      <c r="R76" s="844"/>
      <c r="S76" s="844"/>
      <c r="T76" s="862"/>
      <c r="U76" s="485">
        <v>28.53</v>
      </c>
      <c r="V76" s="84">
        <f>3.7854*U76/8</f>
        <v>13.499682750000002</v>
      </c>
      <c r="W76" s="84">
        <f>U76*(5/6)</f>
        <v>23.775000000000002</v>
      </c>
      <c r="X76" s="863"/>
      <c r="Y76" s="51"/>
      <c r="Z76" s="65" t="s">
        <v>502</v>
      </c>
      <c r="AA76" s="65" t="s">
        <v>376</v>
      </c>
      <c r="AB76" s="507">
        <v>6.5</v>
      </c>
      <c r="AC76" s="507">
        <v>1.5</v>
      </c>
      <c r="AD76" s="507">
        <v>0.25</v>
      </c>
      <c r="AE76" s="508">
        <v>12</v>
      </c>
      <c r="AF76" s="507">
        <v>0.5</v>
      </c>
      <c r="AG76" s="507">
        <v>140</v>
      </c>
      <c r="AH76" s="507">
        <v>151</v>
      </c>
      <c r="AI76" s="509">
        <v>0.03</v>
      </c>
      <c r="AJ76" s="509">
        <v>0.6</v>
      </c>
      <c r="AK76" s="478">
        <v>0</v>
      </c>
      <c r="AL76" s="509">
        <v>0.06</v>
      </c>
      <c r="AM76" s="508" t="s">
        <v>377</v>
      </c>
      <c r="AN76" s="819">
        <f>C76*F76</f>
        <v>0</v>
      </c>
      <c r="AO76" s="507">
        <f>F76*AB76/100</f>
        <v>0</v>
      </c>
      <c r="AP76" s="820">
        <f>F76*AC76/100</f>
        <v>0</v>
      </c>
      <c r="AQ76" s="820">
        <f>F76*AD76/100</f>
        <v>0</v>
      </c>
      <c r="AR76" s="820">
        <f>F76*(AE76-AB76)/100</f>
        <v>0</v>
      </c>
      <c r="AS76" s="820">
        <f>F76*AF76/1200</f>
        <v>0</v>
      </c>
      <c r="AT76" s="507">
        <f t="shared" ref="AT76:AY76" si="35">$F76*AG76/100</f>
        <v>0</v>
      </c>
      <c r="AU76" s="507">
        <f t="shared" si="35"/>
        <v>0</v>
      </c>
      <c r="AV76" s="507">
        <f t="shared" si="35"/>
        <v>0</v>
      </c>
      <c r="AW76" s="507">
        <f t="shared" si="35"/>
        <v>0</v>
      </c>
      <c r="AX76" s="507">
        <f t="shared" si="35"/>
        <v>0</v>
      </c>
      <c r="AY76" s="507">
        <f t="shared" si="35"/>
        <v>0</v>
      </c>
      <c r="AZ76" s="816"/>
      <c r="BA76" s="824"/>
    </row>
    <row r="77" spans="1:53">
      <c r="A77" s="206">
        <v>7</v>
      </c>
      <c r="B77" s="206">
        <v>4</v>
      </c>
      <c r="C77" s="157">
        <v>0.17</v>
      </c>
      <c r="D77" s="915" t="str">
        <f t="shared" si="32"/>
        <v>REDCURRANT</v>
      </c>
      <c r="E77" s="916" t="str">
        <f t="shared" si="17"/>
        <v>-</v>
      </c>
      <c r="F77" s="206"/>
      <c r="G77" s="843"/>
      <c r="H77" s="339"/>
      <c r="I77" s="844"/>
      <c r="J77" s="844"/>
      <c r="K77" s="844"/>
      <c r="L77" s="844"/>
      <c r="M77" s="844"/>
      <c r="N77" s="844"/>
      <c r="O77" s="844"/>
      <c r="P77" s="844"/>
      <c r="Q77" s="844"/>
      <c r="R77" s="844"/>
      <c r="S77" s="844"/>
      <c r="T77" s="862"/>
      <c r="U77" s="868"/>
      <c r="V77" s="868"/>
      <c r="W77" s="868"/>
      <c r="X77" s="863"/>
      <c r="Y77" s="51"/>
      <c r="Z77" s="65" t="s">
        <v>503</v>
      </c>
      <c r="AA77" s="65" t="s">
        <v>376</v>
      </c>
      <c r="AB77" s="507">
        <v>7.37</v>
      </c>
      <c r="AC77" s="507">
        <v>2.2999999999999998</v>
      </c>
      <c r="AD77" s="507">
        <v>0.1</v>
      </c>
      <c r="AE77" s="508">
        <v>13.8</v>
      </c>
      <c r="AF77" s="507">
        <v>0.6</v>
      </c>
      <c r="AG77" s="507">
        <v>180</v>
      </c>
      <c r="AH77" s="507">
        <v>270</v>
      </c>
      <c r="AI77" s="509">
        <v>0.04</v>
      </c>
      <c r="AJ77" s="509">
        <v>0.1</v>
      </c>
      <c r="AK77" s="509">
        <v>6.4000000000000001E-2</v>
      </c>
      <c r="AL77" s="509">
        <v>7.0000000000000007E-2</v>
      </c>
      <c r="AM77" s="508" t="s">
        <v>377</v>
      </c>
      <c r="AN77" s="819">
        <f t="shared" si="20"/>
        <v>0</v>
      </c>
      <c r="AO77" s="507">
        <f t="shared" si="21"/>
        <v>0</v>
      </c>
      <c r="AP77" s="820">
        <f t="shared" si="22"/>
        <v>0</v>
      </c>
      <c r="AQ77" s="820">
        <f t="shared" si="23"/>
        <v>0</v>
      </c>
      <c r="AR77" s="820">
        <f t="shared" si="24"/>
        <v>0</v>
      </c>
      <c r="AS77" s="820">
        <f t="shared" si="25"/>
        <v>0</v>
      </c>
      <c r="AT77" s="507">
        <f t="shared" si="26"/>
        <v>0</v>
      </c>
      <c r="AU77" s="507">
        <f t="shared" si="27"/>
        <v>0</v>
      </c>
      <c r="AV77" s="507">
        <f t="shared" si="28"/>
        <v>0</v>
      </c>
      <c r="AW77" s="507">
        <f t="shared" si="29"/>
        <v>0</v>
      </c>
      <c r="AX77" s="507">
        <f t="shared" si="30"/>
        <v>0</v>
      </c>
      <c r="AY77" s="507">
        <f t="shared" si="31"/>
        <v>0</v>
      </c>
      <c r="AZ77" s="816"/>
      <c r="BA77" s="824"/>
    </row>
    <row r="78" spans="1:53">
      <c r="A78" s="206">
        <v>7</v>
      </c>
      <c r="B78" s="206">
        <v>9</v>
      </c>
      <c r="C78" s="157">
        <v>0.2</v>
      </c>
      <c r="D78" s="915" t="str">
        <f t="shared" si="32"/>
        <v>RHUBARB ▼</v>
      </c>
      <c r="E78" s="916" t="str">
        <f t="shared" si="17"/>
        <v>FLESH</v>
      </c>
      <c r="F78" s="206"/>
      <c r="G78" s="843"/>
      <c r="H78" s="339"/>
      <c r="I78" s="1546" t="s">
        <v>504</v>
      </c>
      <c r="J78" s="1546"/>
      <c r="K78" s="1546"/>
      <c r="L78" s="1546"/>
      <c r="M78" s="160"/>
      <c r="N78" s="160"/>
      <c r="O78" s="160"/>
      <c r="P78" s="160"/>
      <c r="Q78" s="160"/>
      <c r="R78" s="160"/>
      <c r="S78" s="48"/>
      <c r="T78" s="868"/>
      <c r="U78" s="868"/>
      <c r="V78" s="868"/>
      <c r="W78" s="854"/>
      <c r="X78" s="863"/>
      <c r="Y78" s="22"/>
      <c r="Z78" s="65" t="s">
        <v>505</v>
      </c>
      <c r="AA78" s="65" t="s">
        <v>360</v>
      </c>
      <c r="AB78" s="507">
        <v>1.1000000000000001</v>
      </c>
      <c r="AC78" s="507">
        <v>1.5</v>
      </c>
      <c r="AD78" s="507">
        <v>0.1</v>
      </c>
      <c r="AE78" s="508">
        <v>4.5</v>
      </c>
      <c r="AF78" s="507">
        <v>0.4</v>
      </c>
      <c r="AG78" s="507">
        <v>100</v>
      </c>
      <c r="AH78" s="507">
        <v>280</v>
      </c>
      <c r="AI78" s="509">
        <v>0.02</v>
      </c>
      <c r="AJ78" s="509">
        <v>0.3</v>
      </c>
      <c r="AK78" s="509">
        <v>8.5000000000000006E-2</v>
      </c>
      <c r="AL78" s="509">
        <v>2.4E-2</v>
      </c>
      <c r="AM78" s="508" t="s">
        <v>349</v>
      </c>
      <c r="AN78" s="819">
        <f t="shared" si="20"/>
        <v>0</v>
      </c>
      <c r="AO78" s="507">
        <f t="shared" si="21"/>
        <v>0</v>
      </c>
      <c r="AP78" s="820">
        <f t="shared" si="22"/>
        <v>0</v>
      </c>
      <c r="AQ78" s="820">
        <f t="shared" si="23"/>
        <v>0</v>
      </c>
      <c r="AR78" s="820">
        <f t="shared" si="24"/>
        <v>0</v>
      </c>
      <c r="AS78" s="820">
        <f t="shared" si="25"/>
        <v>0</v>
      </c>
      <c r="AT78" s="507">
        <f t="shared" si="26"/>
        <v>0</v>
      </c>
      <c r="AU78" s="507">
        <f t="shared" si="27"/>
        <v>0</v>
      </c>
      <c r="AV78" s="507">
        <f t="shared" si="28"/>
        <v>0</v>
      </c>
      <c r="AW78" s="507">
        <f t="shared" si="29"/>
        <v>0</v>
      </c>
      <c r="AX78" s="507">
        <f t="shared" si="30"/>
        <v>0</v>
      </c>
      <c r="AY78" s="507">
        <f t="shared" si="31"/>
        <v>0</v>
      </c>
      <c r="AZ78" s="816"/>
      <c r="BA78" s="824"/>
    </row>
    <row r="79" spans="1:53">
      <c r="A79" s="206" t="s">
        <v>366</v>
      </c>
      <c r="B79" s="206">
        <v>6</v>
      </c>
      <c r="C79" s="157">
        <v>0</v>
      </c>
      <c r="D79" s="915" t="str">
        <f t="shared" si="32"/>
        <v xml:space="preserve">         "</v>
      </c>
      <c r="E79" s="916" t="str">
        <f t="shared" si="17"/>
        <v>JUICE</v>
      </c>
      <c r="F79" s="206"/>
      <c r="G79" s="843"/>
      <c r="H79" s="339"/>
      <c r="I79" s="1547" t="str">
        <f>"Do not add a crushed Campden tablet after racking of the lees. To be used for UNSWEETENED ciders, meads &amp; sparkling wines ONLY. Cell L43 MUST be ""0"" (presently set to "&amp;FIXED(L43,0)&amp;"g)."</f>
        <v>Do not add a crushed Campden tablet after racking of the lees. To be used for UNSWEETENED ciders, meads &amp; sparkling wines ONLY. Cell L43 MUST be "0" (presently set to 0g).</v>
      </c>
      <c r="J79" s="1547"/>
      <c r="K79" s="1547"/>
      <c r="L79" s="1547"/>
      <c r="M79" s="1547"/>
      <c r="N79" s="1547"/>
      <c r="O79" s="1547"/>
      <c r="P79" s="1547"/>
      <c r="Q79" s="1547"/>
      <c r="R79" s="1547"/>
      <c r="S79" s="1547"/>
      <c r="T79" s="1547"/>
      <c r="U79" s="1547"/>
      <c r="V79" s="1547"/>
      <c r="W79" s="863"/>
      <c r="X79" s="863"/>
      <c r="Y79" s="22"/>
      <c r="Z79" s="65" t="s">
        <v>506</v>
      </c>
      <c r="AA79" s="65" t="s">
        <v>397</v>
      </c>
      <c r="AB79" s="42">
        <v>1</v>
      </c>
      <c r="AC79" s="42">
        <v>1.4</v>
      </c>
      <c r="AD79" s="42">
        <v>0.1</v>
      </c>
      <c r="AE79" s="43">
        <v>1.1000000000000001</v>
      </c>
      <c r="AF79" s="42">
        <v>0.2</v>
      </c>
      <c r="AG79" s="42">
        <v>100</v>
      </c>
      <c r="AH79" s="42">
        <v>150</v>
      </c>
      <c r="AI79" s="478">
        <v>0.02</v>
      </c>
      <c r="AJ79" s="478">
        <v>0.3</v>
      </c>
      <c r="AK79" s="478">
        <v>0.08</v>
      </c>
      <c r="AL79" s="478">
        <v>0.02</v>
      </c>
      <c r="AM79" s="508" t="s">
        <v>349</v>
      </c>
      <c r="AN79" s="819">
        <f t="shared" si="20"/>
        <v>0</v>
      </c>
      <c r="AO79" s="507">
        <f t="shared" si="21"/>
        <v>0</v>
      </c>
      <c r="AP79" s="820">
        <f t="shared" si="22"/>
        <v>0</v>
      </c>
      <c r="AQ79" s="820">
        <f t="shared" si="23"/>
        <v>0</v>
      </c>
      <c r="AR79" s="820">
        <f t="shared" si="24"/>
        <v>0</v>
      </c>
      <c r="AS79" s="820">
        <f t="shared" si="25"/>
        <v>0</v>
      </c>
      <c r="AT79" s="507">
        <f t="shared" si="26"/>
        <v>0</v>
      </c>
      <c r="AU79" s="507">
        <f t="shared" si="27"/>
        <v>0</v>
      </c>
      <c r="AV79" s="507">
        <f t="shared" si="28"/>
        <v>0</v>
      </c>
      <c r="AW79" s="507">
        <f t="shared" si="29"/>
        <v>0</v>
      </c>
      <c r="AX79" s="507">
        <f t="shared" si="30"/>
        <v>0</v>
      </c>
      <c r="AY79" s="507">
        <f t="shared" si="31"/>
        <v>0</v>
      </c>
      <c r="AZ79" s="816"/>
      <c r="BA79" s="824"/>
    </row>
    <row r="80" spans="1:53">
      <c r="A80" s="1390"/>
      <c r="B80" s="1390"/>
      <c r="C80" s="1404"/>
      <c r="D80" s="130" t="s">
        <v>507</v>
      </c>
      <c r="E80" s="402">
        <v>750</v>
      </c>
      <c r="F80" s="179" t="s">
        <v>508</v>
      </c>
      <c r="G80" s="843"/>
      <c r="H80" s="339"/>
      <c r="I80" s="1548" t="s">
        <v>509</v>
      </c>
      <c r="J80" s="1549"/>
      <c r="K80" s="1549"/>
      <c r="L80" s="334">
        <v>0</v>
      </c>
      <c r="M80" s="1550" t="str">
        <f>"g ̸ litre, un-disolved, equivalent to "&amp;FIXED(L80/S100)&amp;" level 5ml tsp for a 1000ml bottle or "&amp;FIXED(L80*E8,2)&amp;"g for "&amp;E8&amp;" litres."</f>
        <v>g ̸ litre, un-disolved, equivalent to 0.00 level 5ml tsp for a 1000ml bottle or 0.00g for 4.5 litres.</v>
      </c>
      <c r="N80" s="1551"/>
      <c r="O80" s="1551"/>
      <c r="P80" s="1551"/>
      <c r="Q80" s="1551"/>
      <c r="R80" s="1551"/>
      <c r="S80" s="1551"/>
      <c r="T80" s="1551"/>
      <c r="U80" s="1551"/>
      <c r="V80" s="1552"/>
      <c r="W80" s="863"/>
      <c r="X80" s="863"/>
      <c r="Y80" s="22"/>
      <c r="AM80" s="643"/>
      <c r="AN80" s="125"/>
      <c r="AZ80" s="122"/>
      <c r="BA80" s="123"/>
    </row>
    <row r="81" spans="1:53">
      <c r="A81" s="1390"/>
      <c r="B81" s="1390"/>
      <c r="C81" s="1404"/>
      <c r="D81" s="1029" t="str">
        <f>0+F78&amp;"g rhubarb flesh gives "&amp;1*FIXED(E80*F78/1000,0)&amp;"ml juice."</f>
        <v>0g rhubarb flesh gives 0ml juice.</v>
      </c>
      <c r="E81" s="1553" t="s">
        <v>510</v>
      </c>
      <c r="F81" s="1554"/>
      <c r="G81" s="843"/>
      <c r="H81" s="339"/>
      <c r="I81" s="1437" t="s">
        <v>511</v>
      </c>
      <c r="J81" s="1526"/>
      <c r="K81" s="1438"/>
      <c r="L81" s="536">
        <f>L90</f>
        <v>750</v>
      </c>
      <c r="M81" s="1536" t="str">
        <f>"ml, use "&amp;FIXED(L80*(L81/1000),2)&amp;"g, this is equivalent to "&amp;FIXED(((L81/1000)*L80/S100),2)&amp;" level 5ml tsp per bottle."</f>
        <v>ml, use 0.00g, this is equivalent to 0.00 level 5ml tsp per bottle.</v>
      </c>
      <c r="N81" s="1468"/>
      <c r="O81" s="1468"/>
      <c r="P81" s="1468"/>
      <c r="Q81" s="1468"/>
      <c r="R81" s="1468"/>
      <c r="S81" s="1468"/>
      <c r="T81" s="1468"/>
      <c r="U81" s="1468"/>
      <c r="V81" s="1537"/>
      <c r="W81" s="863"/>
      <c r="X81" s="863"/>
      <c r="Y81" s="22"/>
      <c r="Z81" s="44"/>
      <c r="AA81" s="44"/>
      <c r="AB81" s="45"/>
      <c r="AC81" s="45"/>
      <c r="AD81" s="45"/>
      <c r="AE81" s="45"/>
      <c r="AF81" s="45"/>
      <c r="AG81" s="45"/>
      <c r="AH81" s="45"/>
      <c r="AI81" s="45"/>
      <c r="AJ81" s="45"/>
      <c r="AK81" s="45"/>
      <c r="AL81" s="45"/>
      <c r="AM81" s="67"/>
      <c r="AN81" s="501"/>
      <c r="AO81" s="501"/>
      <c r="AP81" s="501"/>
      <c r="AQ81" s="501"/>
      <c r="AR81" s="501"/>
      <c r="AS81" s="501"/>
      <c r="AT81" s="501"/>
      <c r="AU81" s="501"/>
      <c r="AV81" s="501"/>
      <c r="AW81" s="501"/>
      <c r="AX81" s="501"/>
      <c r="AY81" s="501"/>
      <c r="AZ81" s="122"/>
      <c r="BA81" s="124"/>
    </row>
    <row r="82" spans="1:53">
      <c r="A82" s="1390"/>
      <c r="B82" s="1390"/>
      <c r="C82" s="1404"/>
      <c r="D82" s="1555" t="str">
        <f>"OR  "&amp;(0+F79)&amp;"ml juice requires "&amp;1*FIXED((F79*1000/E80),0)&amp;"g rhubarb flesh."</f>
        <v>OR  0ml juice requires 0g rhubarb flesh.</v>
      </c>
      <c r="E82" s="1091"/>
      <c r="F82" s="1556"/>
      <c r="G82" s="843"/>
      <c r="H82" s="339"/>
      <c r="I82" s="1557" t="s">
        <v>512</v>
      </c>
      <c r="J82" s="1558"/>
      <c r="K82" s="1559"/>
      <c r="L82" s="335">
        <v>20</v>
      </c>
      <c r="M82" s="1536" t="s">
        <v>935</v>
      </c>
      <c r="N82" s="1468"/>
      <c r="O82" s="1468"/>
      <c r="P82" s="1468"/>
      <c r="Q82" s="1468"/>
      <c r="R82" s="1468"/>
      <c r="S82" s="1468"/>
      <c r="T82" s="1468"/>
      <c r="U82" s="1468"/>
      <c r="V82" s="1537"/>
      <c r="W82" s="863"/>
      <c r="X82" s="863"/>
      <c r="Y82" s="20"/>
      <c r="Z82" s="44"/>
      <c r="AA82" s="68"/>
      <c r="AB82" s="68"/>
      <c r="AC82" s="68"/>
      <c r="AD82" s="68"/>
      <c r="AE82" s="68"/>
      <c r="AF82" s="68"/>
      <c r="AG82" s="68"/>
      <c r="AH82" s="68"/>
      <c r="AI82" s="68"/>
      <c r="AJ82" s="68"/>
      <c r="AK82" s="68"/>
      <c r="AL82" s="68"/>
      <c r="AM82" s="67"/>
      <c r="AN82" s="125"/>
      <c r="AO82" s="13"/>
      <c r="AP82" s="14"/>
      <c r="AQ82" s="14"/>
      <c r="AR82" s="14"/>
      <c r="AS82" s="14"/>
      <c r="AT82" s="13"/>
      <c r="AU82" s="13"/>
      <c r="AV82" s="13"/>
      <c r="AW82" s="13"/>
      <c r="AX82" s="13"/>
      <c r="AY82" s="13"/>
      <c r="AZ82" s="122"/>
      <c r="BA82" s="124"/>
    </row>
    <row r="83" spans="1:53">
      <c r="A83" s="1390"/>
      <c r="B83" s="1390"/>
      <c r="C83" s="1404"/>
      <c r="D83" s="1560" t="s">
        <v>874</v>
      </c>
      <c r="E83" s="1561"/>
      <c r="F83" s="1562"/>
      <c r="G83" s="843"/>
      <c r="H83" s="339"/>
      <c r="I83" s="1437" t="s">
        <v>514</v>
      </c>
      <c r="J83" s="1526"/>
      <c r="K83" s="1438"/>
      <c r="L83" s="341">
        <f>L80*Q165+VLOOKUP(L82,P168:Q211,2)</f>
        <v>0.877</v>
      </c>
      <c r="M83" s="1437" t="s">
        <v>515</v>
      </c>
      <c r="N83" s="1526"/>
      <c r="O83" s="1526"/>
      <c r="P83" s="1526"/>
      <c r="Q83" s="1526"/>
      <c r="R83" s="1526"/>
      <c r="S83" s="1526"/>
      <c r="T83" s="1526"/>
      <c r="U83" s="1526"/>
      <c r="V83" s="1438"/>
      <c r="W83" s="863"/>
      <c r="X83" s="863"/>
      <c r="Y83" s="22"/>
      <c r="Z83" s="44"/>
      <c r="AA83" s="68"/>
      <c r="AB83" s="68"/>
      <c r="AC83" s="45"/>
      <c r="AD83" s="45"/>
      <c r="AE83" s="45"/>
      <c r="AF83" s="45"/>
      <c r="AG83" s="45"/>
      <c r="AH83" s="45"/>
      <c r="AI83" s="45"/>
      <c r="AJ83" s="45"/>
      <c r="AK83" s="45"/>
      <c r="AL83" s="45"/>
      <c r="AM83" s="67"/>
      <c r="AN83" s="125"/>
      <c r="AO83" s="13"/>
      <c r="AP83" s="14"/>
      <c r="AQ83" s="14"/>
      <c r="AR83" s="14"/>
      <c r="AS83" s="14"/>
      <c r="AT83" s="13"/>
      <c r="AU83" s="13"/>
      <c r="AV83" s="13"/>
      <c r="AW83" s="13"/>
      <c r="AX83" s="13"/>
      <c r="AY83" s="13"/>
      <c r="AZ83" s="122"/>
      <c r="BA83" s="124"/>
    </row>
    <row r="84" spans="1:53">
      <c r="A84" s="1390"/>
      <c r="B84" s="1390"/>
      <c r="C84" s="1404"/>
      <c r="D84" s="1561"/>
      <c r="E84" s="1561"/>
      <c r="F84" s="1562"/>
      <c r="G84" s="843"/>
      <c r="H84" s="339"/>
      <c r="I84" s="1437" t="s">
        <v>516</v>
      </c>
      <c r="J84" s="1526"/>
      <c r="K84" s="1526"/>
      <c r="L84" s="342">
        <f>(SUM(-16.6999,PRODUCT(-0.0101059,(((L82+40)*(9/5))-40)),PRODUCT(0.00116512,POWER((((L82+40)*(9/5))-40),2)),PRODUCT(0.173354,(((L82+40)*(9/5))-40),L83),PRODUCT(4.24267,L83),PRODUCT(-0.0684226,POWER(L83,2))))</f>
        <v>2.0067486080845991</v>
      </c>
      <c r="M84" s="1437" t="str">
        <f>"PSI  OR  "&amp;FIXED(L84*0.068046)&amp;" Atm. OR "&amp;FIXED(L84*0.068948)&amp;" Bar."</f>
        <v>PSI  OR  0.14 Atm. OR 0.14 Bar.</v>
      </c>
      <c r="N84" s="1526"/>
      <c r="O84" s="1526"/>
      <c r="P84" s="1526"/>
      <c r="Q84" s="1526"/>
      <c r="R84" s="1526"/>
      <c r="S84" s="1526"/>
      <c r="T84" s="1526"/>
      <c r="U84" s="1526"/>
      <c r="V84" s="1438"/>
      <c r="W84" s="863"/>
      <c r="X84" s="863"/>
      <c r="Y84" s="22"/>
      <c r="Z84" s="44"/>
      <c r="AA84" s="44"/>
      <c r="AB84" s="45"/>
      <c r="AC84" s="45"/>
      <c r="AD84" s="45"/>
      <c r="AE84" s="45"/>
      <c r="AF84" s="45"/>
      <c r="AG84" s="45"/>
      <c r="AH84" s="45"/>
      <c r="AI84" s="45"/>
      <c r="AJ84" s="45"/>
      <c r="AK84" s="45"/>
      <c r="AL84" s="45"/>
      <c r="AM84" s="67"/>
      <c r="AN84" s="125"/>
      <c r="AO84" s="13"/>
      <c r="AP84" s="14"/>
      <c r="AQ84" s="14"/>
      <c r="AR84" s="14"/>
      <c r="AS84" s="14"/>
      <c r="AT84" s="13"/>
      <c r="AU84" s="13"/>
      <c r="AV84" s="13"/>
      <c r="AW84" s="13"/>
      <c r="AX84" s="13"/>
      <c r="AY84" s="13"/>
      <c r="AZ84" s="122"/>
      <c r="BA84" s="124"/>
    </row>
    <row r="85" spans="1:53">
      <c r="A85" s="1390"/>
      <c r="B85" s="1390"/>
      <c r="C85" s="1404"/>
      <c r="D85" s="1561"/>
      <c r="E85" s="1561"/>
      <c r="F85" s="1562"/>
      <c r="G85" s="843"/>
      <c r="H85" s="339"/>
      <c r="I85" s="1437" t="s">
        <v>517</v>
      </c>
      <c r="J85" s="1526"/>
      <c r="K85" s="1438"/>
      <c r="L85" s="368">
        <f>1000+(L63-1000)*(L61/L60)+0.375*L80</f>
        <v>1074.765625</v>
      </c>
      <c r="M85" s="1367"/>
      <c r="N85" s="1085"/>
      <c r="O85" s="1085"/>
      <c r="P85" s="1085"/>
      <c r="Q85" s="1085"/>
      <c r="R85" s="1085"/>
      <c r="S85" s="1085"/>
      <c r="T85" s="1085"/>
      <c r="U85" s="1085"/>
      <c r="V85" s="1563"/>
      <c r="W85" s="863"/>
      <c r="X85" s="863"/>
      <c r="Y85" s="22"/>
      <c r="Z85" s="44"/>
      <c r="AA85" s="44"/>
      <c r="AB85" s="45"/>
      <c r="AC85" s="45"/>
      <c r="AD85" s="45"/>
      <c r="AE85" s="45"/>
      <c r="AF85" s="45"/>
      <c r="AG85" s="45"/>
      <c r="AH85" s="45"/>
      <c r="AI85" s="45"/>
      <c r="AJ85" s="45"/>
      <c r="AK85" s="45"/>
      <c r="AL85" s="45"/>
      <c r="AM85" s="67"/>
      <c r="AN85" s="13"/>
      <c r="AO85" s="13"/>
      <c r="AP85" s="13"/>
      <c r="AQ85" s="13"/>
      <c r="AR85" s="13"/>
      <c r="AS85" s="13"/>
      <c r="AT85" s="13"/>
      <c r="AU85" s="13"/>
      <c r="AV85" s="13"/>
      <c r="AW85" s="13"/>
      <c r="AX85" s="13"/>
      <c r="AY85" s="13"/>
      <c r="AZ85" s="13"/>
      <c r="BA85" s="13"/>
    </row>
    <row r="86" spans="1:53">
      <c r="A86" s="206">
        <v>7</v>
      </c>
      <c r="B86" s="206">
        <v>12</v>
      </c>
      <c r="C86" s="157">
        <v>0.17</v>
      </c>
      <c r="D86" s="915" t="str">
        <f t="shared" ref="D86:E92" si="36">Z86</f>
        <v>SLOE</v>
      </c>
      <c r="E86" s="916" t="str">
        <f t="shared" si="36"/>
        <v>-</v>
      </c>
      <c r="F86" s="206"/>
      <c r="G86" s="843"/>
      <c r="H86" s="339"/>
      <c r="I86" s="1437" t="s">
        <v>518</v>
      </c>
      <c r="J86" s="1526"/>
      <c r="K86" s="1438"/>
      <c r="L86" s="368">
        <f>L64-(1.079*0.375*L80/E8)</f>
        <v>994.09351562500001</v>
      </c>
      <c r="M86" s="1437"/>
      <c r="N86" s="1526"/>
      <c r="O86" s="1526"/>
      <c r="P86" s="1526"/>
      <c r="Q86" s="1526"/>
      <c r="R86" s="1526"/>
      <c r="S86" s="1526"/>
      <c r="T86" s="1526"/>
      <c r="U86" s="1526"/>
      <c r="V86" s="1438"/>
      <c r="W86" s="863"/>
      <c r="X86" s="863"/>
      <c r="Y86" s="22"/>
      <c r="Z86" s="65" t="s">
        <v>519</v>
      </c>
      <c r="AA86" s="65" t="s">
        <v>376</v>
      </c>
      <c r="AB86" s="507">
        <v>8</v>
      </c>
      <c r="AC86" s="42">
        <v>2</v>
      </c>
      <c r="AD86" s="42">
        <v>0.3</v>
      </c>
      <c r="AE86" s="43">
        <v>9</v>
      </c>
      <c r="AF86" s="42">
        <v>0.5</v>
      </c>
      <c r="AG86" s="42">
        <v>100</v>
      </c>
      <c r="AH86" s="42">
        <v>150</v>
      </c>
      <c r="AI86" s="480">
        <v>0.02</v>
      </c>
      <c r="AJ86" s="480">
        <v>0.3</v>
      </c>
      <c r="AK86" s="480">
        <v>0.08</v>
      </c>
      <c r="AL86" s="480">
        <v>0.02</v>
      </c>
      <c r="AM86" s="508"/>
      <c r="AN86" s="125">
        <f t="shared" ref="AN86:AN92" si="37">C86*F86</f>
        <v>0</v>
      </c>
      <c r="AO86" s="13">
        <f t="shared" ref="AO86:AO92" si="38">F86*AB86/100</f>
        <v>0</v>
      </c>
      <c r="AP86" s="14">
        <f t="shared" ref="AP86:AP92" si="39">F86*AC86/100</f>
        <v>0</v>
      </c>
      <c r="AQ86" s="14">
        <f t="shared" ref="AQ86:AQ92" si="40">F86*AD86/100</f>
        <v>0</v>
      </c>
      <c r="AR86" s="14">
        <f t="shared" ref="AR86:AR92" si="41">F86*(AE86-AB86)/100</f>
        <v>0</v>
      </c>
      <c r="AS86" s="14">
        <f t="shared" ref="AS86:AS92" si="42">F86*AF86/1200</f>
        <v>0</v>
      </c>
      <c r="AT86" s="13">
        <f t="shared" ref="AT86:AY92" si="43">$F86*AG86/100</f>
        <v>0</v>
      </c>
      <c r="AU86" s="13">
        <f t="shared" si="43"/>
        <v>0</v>
      </c>
      <c r="AV86" s="13">
        <f t="shared" si="43"/>
        <v>0</v>
      </c>
      <c r="AW86" s="13">
        <f t="shared" si="43"/>
        <v>0</v>
      </c>
      <c r="AX86" s="13">
        <f t="shared" si="43"/>
        <v>0</v>
      </c>
      <c r="AY86" s="96">
        <f t="shared" si="43"/>
        <v>0</v>
      </c>
      <c r="AZ86" s="122"/>
      <c r="BA86" s="124"/>
    </row>
    <row r="87" spans="1:53">
      <c r="A87" s="206">
        <v>7</v>
      </c>
      <c r="B87" s="206">
        <v>6</v>
      </c>
      <c r="C87" s="157">
        <v>0.1</v>
      </c>
      <c r="D87" s="915" t="str">
        <f t="shared" si="36"/>
        <v>STRAWBERRY</v>
      </c>
      <c r="E87" s="916" t="str">
        <f t="shared" si="36"/>
        <v>-</v>
      </c>
      <c r="F87" s="206"/>
      <c r="G87" s="843"/>
      <c r="H87" s="339"/>
      <c r="I87" s="1527" t="s">
        <v>520</v>
      </c>
      <c r="J87" s="1528"/>
      <c r="K87" s="1528"/>
      <c r="L87" s="336">
        <f>(L85-L86)/(7.75-(3*(L85-1000)/800))</f>
        <v>10.800015688530376</v>
      </c>
      <c r="M87" s="1527" t="s">
        <v>89</v>
      </c>
      <c r="N87" s="1528"/>
      <c r="O87" s="1528"/>
      <c r="P87" s="1528"/>
      <c r="Q87" s="1528"/>
      <c r="R87" s="1528"/>
      <c r="S87" s="1528"/>
      <c r="T87" s="1528"/>
      <c r="U87" s="1528"/>
      <c r="V87" s="1529"/>
      <c r="W87" s="863"/>
      <c r="X87" s="863"/>
      <c r="Y87" s="22"/>
      <c r="Z87" s="65" t="s">
        <v>521</v>
      </c>
      <c r="AA87" s="65" t="s">
        <v>376</v>
      </c>
      <c r="AB87" s="507">
        <v>5.5</v>
      </c>
      <c r="AC87" s="507">
        <v>1</v>
      </c>
      <c r="AD87" s="507">
        <v>0.4</v>
      </c>
      <c r="AE87" s="508">
        <v>8</v>
      </c>
      <c r="AF87" s="507">
        <v>0.5</v>
      </c>
      <c r="AG87" s="507">
        <v>100</v>
      </c>
      <c r="AH87" s="507">
        <v>290</v>
      </c>
      <c r="AI87" s="481">
        <v>0.03</v>
      </c>
      <c r="AJ87" s="481">
        <v>0.6</v>
      </c>
      <c r="AK87" s="481">
        <v>0</v>
      </c>
      <c r="AL87" s="481">
        <v>0</v>
      </c>
      <c r="AM87" s="644"/>
      <c r="AN87" s="125">
        <f t="shared" si="37"/>
        <v>0</v>
      </c>
      <c r="AO87" s="13">
        <f t="shared" si="38"/>
        <v>0</v>
      </c>
      <c r="AP87" s="14">
        <f t="shared" si="39"/>
        <v>0</v>
      </c>
      <c r="AQ87" s="14">
        <f t="shared" si="40"/>
        <v>0</v>
      </c>
      <c r="AR87" s="14">
        <f t="shared" si="41"/>
        <v>0</v>
      </c>
      <c r="AS87" s="14">
        <f t="shared" si="42"/>
        <v>0</v>
      </c>
      <c r="AT87" s="13">
        <f t="shared" si="43"/>
        <v>0</v>
      </c>
      <c r="AU87" s="13">
        <f t="shared" si="43"/>
        <v>0</v>
      </c>
      <c r="AV87" s="13">
        <f t="shared" si="43"/>
        <v>0</v>
      </c>
      <c r="AW87" s="13">
        <f t="shared" si="43"/>
        <v>0</v>
      </c>
      <c r="AX87" s="13">
        <f t="shared" si="43"/>
        <v>0</v>
      </c>
      <c r="AY87" s="96">
        <f t="shared" si="43"/>
        <v>0</v>
      </c>
      <c r="AZ87" s="122"/>
      <c r="BA87" s="827"/>
    </row>
    <row r="88" spans="1:53" ht="14.45" customHeight="1">
      <c r="A88" s="206">
        <v>7</v>
      </c>
      <c r="B88" s="206">
        <v>6</v>
      </c>
      <c r="C88" s="157">
        <v>0.12</v>
      </c>
      <c r="D88" s="915" t="str">
        <f t="shared" si="36"/>
        <v>TANGERINE</v>
      </c>
      <c r="E88" s="916" t="str">
        <f t="shared" si="36"/>
        <v>FLESH</v>
      </c>
      <c r="F88" s="206"/>
      <c r="G88" s="843"/>
      <c r="H88" s="339"/>
      <c r="I88" s="865"/>
      <c r="J88" s="865"/>
      <c r="K88" s="865"/>
      <c r="L88" s="865"/>
      <c r="M88" s="865"/>
      <c r="N88" s="865"/>
      <c r="O88" s="865"/>
      <c r="P88" s="897"/>
      <c r="Q88" s="775"/>
      <c r="R88" s="775"/>
      <c r="S88" s="775"/>
      <c r="T88" s="775"/>
      <c r="U88" s="340"/>
      <c r="V88" s="340"/>
      <c r="W88" s="835"/>
      <c r="X88" s="863"/>
      <c r="Y88" s="628"/>
      <c r="Z88" s="65" t="s">
        <v>522</v>
      </c>
      <c r="AA88" s="65" t="s">
        <v>360</v>
      </c>
      <c r="AB88" s="507">
        <v>9.6999999999999993</v>
      </c>
      <c r="AC88" s="42">
        <v>0.95</v>
      </c>
      <c r="AD88" s="42">
        <v>0.01</v>
      </c>
      <c r="AE88" s="508">
        <v>10.9</v>
      </c>
      <c r="AF88" s="42">
        <v>0.9</v>
      </c>
      <c r="AG88" s="507">
        <v>140</v>
      </c>
      <c r="AH88" s="507">
        <v>170</v>
      </c>
      <c r="AI88" s="481">
        <v>0.06</v>
      </c>
      <c r="AJ88" s="481">
        <v>0.03</v>
      </c>
      <c r="AK88" s="481">
        <v>0.22</v>
      </c>
      <c r="AL88" s="481">
        <v>0</v>
      </c>
      <c r="AM88" s="644"/>
      <c r="AN88" s="125">
        <f t="shared" si="37"/>
        <v>0</v>
      </c>
      <c r="AO88" s="13">
        <f t="shared" si="38"/>
        <v>0</v>
      </c>
      <c r="AP88" s="14">
        <f t="shared" si="39"/>
        <v>0</v>
      </c>
      <c r="AQ88" s="14">
        <f t="shared" si="40"/>
        <v>0</v>
      </c>
      <c r="AR88" s="14">
        <f t="shared" si="41"/>
        <v>0</v>
      </c>
      <c r="AS88" s="14">
        <f t="shared" si="42"/>
        <v>0</v>
      </c>
      <c r="AT88" s="13">
        <f t="shared" si="43"/>
        <v>0</v>
      </c>
      <c r="AU88" s="13">
        <f t="shared" si="43"/>
        <v>0</v>
      </c>
      <c r="AV88" s="13">
        <f t="shared" si="43"/>
        <v>0</v>
      </c>
      <c r="AW88" s="13">
        <f t="shared" si="43"/>
        <v>0</v>
      </c>
      <c r="AX88" s="13">
        <f t="shared" si="43"/>
        <v>0</v>
      </c>
      <c r="AY88" s="96">
        <f t="shared" si="43"/>
        <v>0</v>
      </c>
      <c r="AZ88" s="122"/>
      <c r="BA88" s="828"/>
    </row>
    <row r="89" spans="1:53">
      <c r="A89" s="206" t="s">
        <v>366</v>
      </c>
      <c r="B89" s="206">
        <v>3</v>
      </c>
      <c r="C89" s="157">
        <v>0</v>
      </c>
      <c r="D89" s="915" t="str">
        <f t="shared" si="36"/>
        <v xml:space="preserve">           "</v>
      </c>
      <c r="E89" s="916" t="str">
        <f t="shared" si="36"/>
        <v>JUICE</v>
      </c>
      <c r="F89" s="206"/>
      <c r="G89" s="843"/>
      <c r="H89" s="339"/>
      <c r="I89" s="1396" t="s">
        <v>523</v>
      </c>
      <c r="J89" s="1396"/>
      <c r="K89" s="1396"/>
      <c r="L89" s="1396"/>
      <c r="M89" s="142"/>
      <c r="N89" s="142"/>
      <c r="O89" s="142"/>
      <c r="P89" s="775"/>
      <c r="Q89" s="874"/>
      <c r="R89" s="874"/>
      <c r="S89" s="874"/>
      <c r="T89" s="874"/>
      <c r="U89" s="874"/>
      <c r="V89" s="874"/>
      <c r="W89" s="838"/>
      <c r="X89" s="863"/>
      <c r="Y89" s="628"/>
      <c r="Z89" s="65" t="s">
        <v>524</v>
      </c>
      <c r="AA89" s="65" t="s">
        <v>397</v>
      </c>
      <c r="AB89" s="507">
        <v>12</v>
      </c>
      <c r="AC89" s="507">
        <v>1.3</v>
      </c>
      <c r="AD89" s="42">
        <v>0.01</v>
      </c>
      <c r="AE89" s="508">
        <v>13</v>
      </c>
      <c r="AF89" s="42">
        <v>0.2</v>
      </c>
      <c r="AG89" s="507">
        <v>140</v>
      </c>
      <c r="AH89" s="507">
        <v>170</v>
      </c>
      <c r="AI89" s="481">
        <v>0.06</v>
      </c>
      <c r="AJ89" s="481">
        <v>0.1</v>
      </c>
      <c r="AK89" s="481">
        <v>0.125</v>
      </c>
      <c r="AL89" s="481">
        <v>4.2000000000000003E-2</v>
      </c>
      <c r="AM89" s="644"/>
      <c r="AN89" s="125">
        <f t="shared" si="37"/>
        <v>0</v>
      </c>
      <c r="AO89" s="13">
        <f t="shared" si="38"/>
        <v>0</v>
      </c>
      <c r="AP89" s="14">
        <f t="shared" si="39"/>
        <v>0</v>
      </c>
      <c r="AQ89" s="14">
        <f t="shared" si="40"/>
        <v>0</v>
      </c>
      <c r="AR89" s="14">
        <f t="shared" si="41"/>
        <v>0</v>
      </c>
      <c r="AS89" s="14">
        <f t="shared" si="42"/>
        <v>0</v>
      </c>
      <c r="AT89" s="13">
        <f t="shared" si="43"/>
        <v>0</v>
      </c>
      <c r="AU89" s="13">
        <f t="shared" si="43"/>
        <v>0</v>
      </c>
      <c r="AV89" s="13">
        <f t="shared" si="43"/>
        <v>0</v>
      </c>
      <c r="AW89" s="13">
        <f t="shared" si="43"/>
        <v>0</v>
      </c>
      <c r="AX89" s="13">
        <f t="shared" si="43"/>
        <v>0</v>
      </c>
      <c r="AY89" s="96">
        <f t="shared" si="43"/>
        <v>0</v>
      </c>
      <c r="AZ89" s="122"/>
      <c r="BA89" s="828"/>
    </row>
    <row r="90" spans="1:53">
      <c r="A90" s="206">
        <v>7</v>
      </c>
      <c r="B90" s="206">
        <v>3</v>
      </c>
      <c r="C90" s="157">
        <v>0.04</v>
      </c>
      <c r="D90" s="915" t="str">
        <f t="shared" si="36"/>
        <v>WATERMELON</v>
      </c>
      <c r="E90" s="916" t="str">
        <f t="shared" si="36"/>
        <v>-</v>
      </c>
      <c r="F90" s="206"/>
      <c r="G90" s="843"/>
      <c r="H90" s="339"/>
      <c r="I90" s="1530" t="s">
        <v>487</v>
      </c>
      <c r="J90" s="1531"/>
      <c r="K90" s="1532"/>
      <c r="L90" s="322">
        <f>L69</f>
        <v>750</v>
      </c>
      <c r="M90" s="323" t="s">
        <v>70</v>
      </c>
      <c r="N90" s="310">
        <f>M69</f>
        <v>125</v>
      </c>
      <c r="O90" s="323" t="s">
        <v>70</v>
      </c>
      <c r="P90" s="876"/>
      <c r="Q90" s="877" t="s">
        <v>470</v>
      </c>
      <c r="R90" s="877" t="s">
        <v>471</v>
      </c>
      <c r="S90" s="877" t="s">
        <v>472</v>
      </c>
      <c r="T90" s="878"/>
      <c r="U90" s="878"/>
      <c r="V90" s="878"/>
      <c r="W90" s="836"/>
      <c r="X90" s="126"/>
      <c r="Y90" s="628"/>
      <c r="Z90" s="65" t="s">
        <v>525</v>
      </c>
      <c r="AA90" s="65" t="s">
        <v>376</v>
      </c>
      <c r="AB90" s="507">
        <v>6.2</v>
      </c>
      <c r="AC90" s="507">
        <v>0.2</v>
      </c>
      <c r="AD90" s="42">
        <v>0.1</v>
      </c>
      <c r="AE90" s="508">
        <v>7.6</v>
      </c>
      <c r="AF90" s="42">
        <v>0.5</v>
      </c>
      <c r="AG90" s="42">
        <v>140</v>
      </c>
      <c r="AH90" s="507">
        <v>110</v>
      </c>
      <c r="AI90" s="481">
        <v>3.3000000000000002E-2</v>
      </c>
      <c r="AJ90" s="481">
        <v>0.17799999999999999</v>
      </c>
      <c r="AK90" s="481">
        <v>0.221</v>
      </c>
      <c r="AL90" s="481">
        <v>4.4999999999999998E-2</v>
      </c>
      <c r="AM90" s="644"/>
      <c r="AN90" s="125">
        <f t="shared" si="37"/>
        <v>0</v>
      </c>
      <c r="AO90" s="13">
        <f t="shared" si="38"/>
        <v>0</v>
      </c>
      <c r="AP90" s="14">
        <f t="shared" si="39"/>
        <v>0</v>
      </c>
      <c r="AQ90" s="14">
        <f t="shared" si="40"/>
        <v>0</v>
      </c>
      <c r="AR90" s="14">
        <f t="shared" si="41"/>
        <v>0</v>
      </c>
      <c r="AS90" s="14">
        <f t="shared" si="42"/>
        <v>0</v>
      </c>
      <c r="AT90" s="13">
        <f t="shared" si="43"/>
        <v>0</v>
      </c>
      <c r="AU90" s="13">
        <f t="shared" si="43"/>
        <v>0</v>
      </c>
      <c r="AV90" s="13">
        <f t="shared" si="43"/>
        <v>0</v>
      </c>
      <c r="AW90" s="13">
        <f t="shared" si="43"/>
        <v>0</v>
      </c>
      <c r="AX90" s="13">
        <f t="shared" si="43"/>
        <v>0</v>
      </c>
      <c r="AY90" s="96">
        <f t="shared" si="43"/>
        <v>0</v>
      </c>
      <c r="AZ90" s="121"/>
      <c r="BA90" s="828"/>
    </row>
    <row r="91" spans="1:53">
      <c r="A91" s="206">
        <v>7</v>
      </c>
      <c r="B91" s="206">
        <v>12</v>
      </c>
      <c r="C91" s="157">
        <v>0.17</v>
      </c>
      <c r="D91" s="915" t="str">
        <f t="shared" si="36"/>
        <v>WHITECURRANT</v>
      </c>
      <c r="E91" s="916" t="str">
        <f t="shared" si="36"/>
        <v>-</v>
      </c>
      <c r="F91" s="206"/>
      <c r="G91" s="843"/>
      <c r="H91" s="843"/>
      <c r="I91" s="1533" t="s">
        <v>490</v>
      </c>
      <c r="J91" s="1534"/>
      <c r="K91" s="1535"/>
      <c r="L91" s="317" t="str">
        <f>FIXED(U92*L90,0)</f>
        <v>452</v>
      </c>
      <c r="M91" s="314"/>
      <c r="N91" s="312" t="str">
        <f>FIXED(U92*N90,1)</f>
        <v>75.3</v>
      </c>
      <c r="O91" s="314"/>
      <c r="P91" s="876"/>
      <c r="Q91" s="879">
        <v>789.4</v>
      </c>
      <c r="R91" s="880">
        <v>7.07</v>
      </c>
      <c r="S91" s="880">
        <v>3.85</v>
      </c>
      <c r="T91" s="881"/>
      <c r="U91" s="881"/>
      <c r="V91" s="881"/>
      <c r="W91" s="858"/>
      <c r="X91" s="126"/>
      <c r="Y91" s="628"/>
      <c r="Z91" s="65" t="s">
        <v>526</v>
      </c>
      <c r="AA91" s="65" t="s">
        <v>376</v>
      </c>
      <c r="AB91" s="507">
        <v>7.37</v>
      </c>
      <c r="AC91" s="42">
        <v>2.2000000000000002</v>
      </c>
      <c r="AD91" s="42">
        <v>0.1</v>
      </c>
      <c r="AE91" s="508">
        <v>13.8</v>
      </c>
      <c r="AF91" s="507">
        <v>0.6</v>
      </c>
      <c r="AG91" s="507">
        <v>200</v>
      </c>
      <c r="AH91" s="507">
        <v>270</v>
      </c>
      <c r="AI91" s="481">
        <v>0.04</v>
      </c>
      <c r="AJ91" s="481">
        <v>0.1</v>
      </c>
      <c r="AK91" s="481">
        <v>6.4000000000000001E-2</v>
      </c>
      <c r="AL91" s="481">
        <v>7.0000000000000007E-2</v>
      </c>
      <c r="AM91" s="644"/>
      <c r="AN91" s="125">
        <f t="shared" si="37"/>
        <v>0</v>
      </c>
      <c r="AO91" s="13">
        <f t="shared" si="38"/>
        <v>0</v>
      </c>
      <c r="AP91" s="14">
        <f t="shared" si="39"/>
        <v>0</v>
      </c>
      <c r="AQ91" s="14">
        <f t="shared" si="40"/>
        <v>0</v>
      </c>
      <c r="AR91" s="14">
        <f t="shared" si="41"/>
        <v>0</v>
      </c>
      <c r="AS91" s="14">
        <f t="shared" si="42"/>
        <v>0</v>
      </c>
      <c r="AT91" s="13">
        <f t="shared" si="43"/>
        <v>0</v>
      </c>
      <c r="AU91" s="13">
        <f t="shared" si="43"/>
        <v>0</v>
      </c>
      <c r="AV91" s="13">
        <f t="shared" si="43"/>
        <v>0</v>
      </c>
      <c r="AW91" s="13">
        <f t="shared" si="43"/>
        <v>0</v>
      </c>
      <c r="AX91" s="13">
        <f t="shared" si="43"/>
        <v>0</v>
      </c>
      <c r="AY91" s="96">
        <f t="shared" si="43"/>
        <v>0</v>
      </c>
      <c r="AZ91" s="97"/>
      <c r="BA91" s="828"/>
    </row>
    <row r="92" spans="1:53">
      <c r="A92" s="159">
        <v>7</v>
      </c>
      <c r="B92" s="206">
        <v>3</v>
      </c>
      <c r="C92" s="157">
        <v>0</v>
      </c>
      <c r="D92" s="915" t="str">
        <f t="shared" si="36"/>
        <v>OTHER</v>
      </c>
      <c r="E92" s="916" t="str">
        <f t="shared" si="36"/>
        <v>-</v>
      </c>
      <c r="F92" s="206"/>
      <c r="G92" s="843"/>
      <c r="H92" s="339"/>
      <c r="I92" s="1536" t="s">
        <v>492</v>
      </c>
      <c r="J92" s="1468"/>
      <c r="K92" s="1537"/>
      <c r="L92" s="898" t="str">
        <f>FIXED(S91*L43*L90/(1000*E8),0)</f>
        <v>0</v>
      </c>
      <c r="M92" s="873"/>
      <c r="N92" s="899" t="str">
        <f>FIXED(S91*L43*N90/(1000*E8),1)</f>
        <v>0.0</v>
      </c>
      <c r="O92" s="840"/>
      <c r="P92" s="876"/>
      <c r="Q92" s="883"/>
      <c r="R92" s="883"/>
      <c r="S92" s="884">
        <f>Q91*R91/1000</f>
        <v>5.5810579999999996</v>
      </c>
      <c r="T92" s="885"/>
      <c r="U92" s="884">
        <f>0.01*S92*(L85-L86)/(7.75-(3*(L85-1000)/800))</f>
        <v>0.60275513958597959</v>
      </c>
      <c r="V92" s="886" t="s">
        <v>477</v>
      </c>
      <c r="W92" s="858"/>
      <c r="X92" s="126"/>
      <c r="Y92" s="628"/>
      <c r="Z92" s="65" t="s">
        <v>474</v>
      </c>
      <c r="AA92" s="65" t="s">
        <v>376</v>
      </c>
      <c r="AB92" s="507">
        <v>0</v>
      </c>
      <c r="AC92" s="507">
        <v>0</v>
      </c>
      <c r="AD92" s="507">
        <v>0</v>
      </c>
      <c r="AE92" s="507">
        <v>0</v>
      </c>
      <c r="AF92" s="507">
        <v>0</v>
      </c>
      <c r="AG92" s="507">
        <v>0</v>
      </c>
      <c r="AH92" s="507">
        <v>0</v>
      </c>
      <c r="AI92" s="481">
        <v>0</v>
      </c>
      <c r="AJ92" s="481">
        <v>0</v>
      </c>
      <c r="AK92" s="481">
        <v>0</v>
      </c>
      <c r="AL92" s="481">
        <v>0</v>
      </c>
      <c r="AM92" s="644"/>
      <c r="AN92" s="125">
        <f t="shared" si="37"/>
        <v>0</v>
      </c>
      <c r="AO92" s="13">
        <f t="shared" si="38"/>
        <v>0</v>
      </c>
      <c r="AP92" s="14">
        <f t="shared" si="39"/>
        <v>0</v>
      </c>
      <c r="AQ92" s="14">
        <f t="shared" si="40"/>
        <v>0</v>
      </c>
      <c r="AR92" s="14">
        <f t="shared" si="41"/>
        <v>0</v>
      </c>
      <c r="AS92" s="14">
        <f t="shared" si="42"/>
        <v>0</v>
      </c>
      <c r="AT92" s="13">
        <f t="shared" si="43"/>
        <v>0</v>
      </c>
      <c r="AU92" s="13">
        <f t="shared" si="43"/>
        <v>0</v>
      </c>
      <c r="AV92" s="13">
        <f t="shared" si="43"/>
        <v>0</v>
      </c>
      <c r="AW92" s="13">
        <f t="shared" si="43"/>
        <v>0</v>
      </c>
      <c r="AX92" s="13">
        <f t="shared" si="43"/>
        <v>0</v>
      </c>
      <c r="AY92" s="96">
        <f t="shared" si="43"/>
        <v>0</v>
      </c>
      <c r="AZ92" s="97"/>
      <c r="BA92" s="828"/>
    </row>
    <row r="93" spans="1:53" ht="13.9" customHeight="1">
      <c r="A93" s="1503" t="s">
        <v>337</v>
      </c>
      <c r="B93" s="1469" t="s">
        <v>338</v>
      </c>
      <c r="C93" s="1481" t="s">
        <v>339</v>
      </c>
      <c r="D93" s="1538" t="s">
        <v>527</v>
      </c>
      <c r="E93" s="1539"/>
      <c r="F93" s="255" t="s">
        <v>52</v>
      </c>
      <c r="G93" s="240" t="s">
        <v>319</v>
      </c>
      <c r="H93" s="76"/>
      <c r="I93" s="1540" t="str">
        <f>"Ensure cell L43 is clear! (Presently set to "&amp;FIXED(L43,0)&amp;")"</f>
        <v>Ensure cell L43 is clear! (Presently set to 0)</v>
      </c>
      <c r="J93" s="1541"/>
      <c r="K93" s="1542"/>
      <c r="L93" s="1543" t="s">
        <v>879</v>
      </c>
      <c r="M93" s="1544"/>
      <c r="N93" s="1544"/>
      <c r="O93" s="1545"/>
      <c r="P93" s="882"/>
      <c r="Q93" s="887">
        <f>0.01*S92*(1000+(L63-1000)*(L61/L60)-L64)/(7.75-(3*(L63-1000)/800))</f>
        <v>0.60275513958597959</v>
      </c>
      <c r="R93" s="888" t="s">
        <v>477</v>
      </c>
      <c r="S93" s="888">
        <f>Q93*L69</f>
        <v>452.06635468948468</v>
      </c>
      <c r="T93" s="889"/>
      <c r="U93" s="887">
        <f>U27/(L60*1000)</f>
        <v>7.4375000000000233E-4</v>
      </c>
      <c r="V93" s="886" t="s">
        <v>477</v>
      </c>
      <c r="W93" s="858"/>
      <c r="X93" s="126"/>
      <c r="Y93" s="628"/>
      <c r="AM93" s="508"/>
      <c r="AN93" s="12"/>
      <c r="AO93" s="12"/>
      <c r="AP93" s="12"/>
      <c r="AQ93" s="12"/>
      <c r="AR93" s="12"/>
      <c r="AS93" s="12"/>
      <c r="AT93" s="12"/>
      <c r="AU93" s="12"/>
      <c r="AV93" s="12"/>
      <c r="AW93" s="12"/>
      <c r="AX93" s="12"/>
      <c r="AY93" s="12"/>
      <c r="AZ93" s="97"/>
      <c r="BA93" s="828"/>
    </row>
    <row r="94" spans="1:53">
      <c r="A94" s="1504"/>
      <c r="B94" s="1470"/>
      <c r="C94" s="1482"/>
      <c r="D94" s="1483" t="s">
        <v>528</v>
      </c>
      <c r="E94" s="1484"/>
      <c r="F94" s="224" t="s">
        <v>51</v>
      </c>
      <c r="G94" s="224" t="s">
        <v>301</v>
      </c>
      <c r="H94" s="80"/>
      <c r="I94" s="1505" t="s">
        <v>494</v>
      </c>
      <c r="J94" s="1506"/>
      <c r="K94" s="1507"/>
      <c r="L94" s="324" t="str">
        <f>FIXED((U93*L90*S91),1)</f>
        <v>2.1</v>
      </c>
      <c r="M94" s="325"/>
      <c r="N94" s="326" t="str">
        <f>FIXED((U93*N90*S91))</f>
        <v>0.36</v>
      </c>
      <c r="O94" s="325"/>
      <c r="P94" s="882"/>
      <c r="Q94" s="887">
        <f>U27/(L60*1000)</f>
        <v>7.4375000000000233E-4</v>
      </c>
      <c r="R94" s="888" t="s">
        <v>477</v>
      </c>
      <c r="S94" s="888">
        <f>Q94*L69</f>
        <v>0.55781250000000171</v>
      </c>
      <c r="T94" s="889"/>
      <c r="U94" s="889"/>
      <c r="V94" s="889"/>
      <c r="W94" s="858"/>
      <c r="X94" s="126"/>
      <c r="Y94" s="628"/>
      <c r="Z94" s="1400" t="s">
        <v>884</v>
      </c>
      <c r="AA94" s="1400"/>
      <c r="AB94" s="1400"/>
      <c r="AC94" s="1400"/>
      <c r="AD94" s="1400"/>
      <c r="AE94" s="1400"/>
      <c r="AF94" s="1400"/>
      <c r="AG94" s="1400"/>
      <c r="AH94" s="1400"/>
      <c r="AI94" s="1400"/>
      <c r="AJ94" s="1400"/>
      <c r="AK94" s="1400"/>
      <c r="AL94" s="1400"/>
      <c r="AM94" s="645"/>
      <c r="AN94" s="57"/>
      <c r="AO94" s="57"/>
      <c r="AP94" s="57"/>
      <c r="AQ94" s="57"/>
      <c r="AR94" s="57"/>
      <c r="AS94" s="57"/>
      <c r="AT94" s="57"/>
      <c r="AU94" s="57"/>
      <c r="AV94" s="57"/>
      <c r="AW94" s="57"/>
      <c r="AX94" s="57"/>
      <c r="AY94" s="57"/>
      <c r="AZ94" s="57"/>
      <c r="BA94" s="828"/>
    </row>
    <row r="95" spans="1:53">
      <c r="A95" s="205">
        <v>7</v>
      </c>
      <c r="B95" s="206">
        <v>3</v>
      </c>
      <c r="C95" s="158">
        <v>0.09</v>
      </c>
      <c r="D95" s="915" t="str">
        <f t="shared" ref="D95:D114" si="44">Z95</f>
        <v>APRICOTS</v>
      </c>
      <c r="E95" s="916" t="str">
        <f t="shared" ref="E95:E114" si="45">AA95</f>
        <v>-</v>
      </c>
      <c r="F95" s="206"/>
      <c r="G95" s="205">
        <v>13.7</v>
      </c>
      <c r="H95" s="1406" t="s">
        <v>529</v>
      </c>
      <c r="I95" s="1508" t="s">
        <v>496</v>
      </c>
      <c r="J95" s="1509"/>
      <c r="K95" s="1510"/>
      <c r="L95" s="320" t="str">
        <f>FIXED(((U92*L90)+($U93*L90*S91)),0)</f>
        <v>454</v>
      </c>
      <c r="M95" s="321"/>
      <c r="N95" s="839" t="str">
        <f>FIXED(((U92*N90)+(U93*N90*S91)),1)</f>
        <v>75.7</v>
      </c>
      <c r="O95" s="321"/>
      <c r="P95" s="882"/>
      <c r="Q95" s="889"/>
      <c r="R95" s="889"/>
      <c r="S95" s="889"/>
      <c r="T95" s="889"/>
      <c r="U95" s="889"/>
      <c r="V95" s="889"/>
      <c r="W95" s="858"/>
      <c r="X95" s="126"/>
      <c r="Y95" s="628"/>
      <c r="Z95" s="65" t="s">
        <v>530</v>
      </c>
      <c r="AA95" s="65" t="s">
        <v>376</v>
      </c>
      <c r="AB95" s="65" t="s">
        <v>376</v>
      </c>
      <c r="AC95" s="507">
        <v>0.5</v>
      </c>
      <c r="AD95" s="42">
        <v>0.05</v>
      </c>
      <c r="AE95" s="508">
        <f t="shared" ref="AE95:AE105" si="46">G95*1.1</f>
        <v>15.07</v>
      </c>
      <c r="AF95" s="42">
        <v>0.2</v>
      </c>
      <c r="AG95" s="42">
        <v>100</v>
      </c>
      <c r="AH95" s="507">
        <v>138</v>
      </c>
      <c r="AI95" s="509">
        <v>0.02</v>
      </c>
      <c r="AJ95" s="509">
        <v>0.3</v>
      </c>
      <c r="AK95" s="509">
        <v>9.6000000000000002E-2</v>
      </c>
      <c r="AL95" s="509">
        <v>0.05</v>
      </c>
      <c r="AM95" s="646" t="s">
        <v>349</v>
      </c>
      <c r="AN95" s="125">
        <f t="shared" ref="AN95:AN114" si="47">C95*F95</f>
        <v>0</v>
      </c>
      <c r="AO95" s="15">
        <f t="shared" ref="AO95:AO114" si="48">F95*G95/100</f>
        <v>0</v>
      </c>
      <c r="AP95" s="14">
        <f t="shared" ref="AP95:AP114" si="49">F95*AC95/100</f>
        <v>0</v>
      </c>
      <c r="AQ95" s="14">
        <f t="shared" ref="AQ95:AQ114" si="50">F95*AD95/100</f>
        <v>0</v>
      </c>
      <c r="AR95" s="14">
        <f t="shared" ref="AR95:AR114" si="51">F95*(AE95-G95)/100</f>
        <v>0</v>
      </c>
      <c r="AS95" s="14">
        <f t="shared" ref="AS95:AS114" si="52">F95*AF95/1200</f>
        <v>0</v>
      </c>
      <c r="AT95" s="13">
        <f t="shared" ref="AT95:AT114" si="53">$F95*AG95/100</f>
        <v>0</v>
      </c>
      <c r="AU95" s="13">
        <f t="shared" ref="AU95:AU114" si="54">$F95*AH95/100</f>
        <v>0</v>
      </c>
      <c r="AV95" s="13">
        <f t="shared" ref="AV95:AV114" si="55">$F95*AI95/100</f>
        <v>0</v>
      </c>
      <c r="AW95" s="13">
        <f t="shared" ref="AW95:AW114" si="56">$F95*AJ95/100</f>
        <v>0</v>
      </c>
      <c r="AX95" s="13">
        <f t="shared" ref="AX95:AX114" si="57">$F95*AK95/100</f>
        <v>0</v>
      </c>
      <c r="AY95" s="96">
        <f t="shared" ref="AY95:AY114" si="58">$F95*AL95/100</f>
        <v>0</v>
      </c>
      <c r="AZ95" s="23"/>
      <c r="BA95" s="828"/>
    </row>
    <row r="96" spans="1:53">
      <c r="A96" s="206">
        <v>7</v>
      </c>
      <c r="B96" s="206">
        <v>3</v>
      </c>
      <c r="C96" s="157">
        <v>0.08</v>
      </c>
      <c r="D96" s="915" t="str">
        <f t="shared" si="44"/>
        <v>CHERRY</v>
      </c>
      <c r="E96" s="916" t="str">
        <f t="shared" si="45"/>
        <v>-</v>
      </c>
      <c r="F96" s="206"/>
      <c r="G96" s="206">
        <v>12</v>
      </c>
      <c r="H96" s="1406"/>
      <c r="I96" s="1511" t="s">
        <v>498</v>
      </c>
      <c r="J96" s="1512"/>
      <c r="K96" s="1513"/>
      <c r="L96" s="318" t="str">
        <f>FIXED((U93*L90)+(L90*L43/(1000*E8)),1)</f>
        <v>0.6</v>
      </c>
      <c r="M96" s="315"/>
      <c r="N96" s="313" t="str">
        <f>FIXED((U93*N90)+(N90*L43/(1000*E8)))</f>
        <v>0.09</v>
      </c>
      <c r="O96" s="315"/>
      <c r="P96" s="775"/>
      <c r="Q96" s="875"/>
      <c r="R96" s="875"/>
      <c r="S96" s="875"/>
      <c r="T96" s="875"/>
      <c r="U96" s="875"/>
      <c r="V96" s="875"/>
      <c r="W96" s="858"/>
      <c r="X96" s="126"/>
      <c r="Y96" s="628"/>
      <c r="Z96" s="65" t="s">
        <v>531</v>
      </c>
      <c r="AA96" s="65" t="s">
        <v>376</v>
      </c>
      <c r="AB96" s="65" t="s">
        <v>376</v>
      </c>
      <c r="AC96" s="42">
        <v>0.25</v>
      </c>
      <c r="AD96" s="42">
        <v>0.05</v>
      </c>
      <c r="AE96" s="508">
        <f t="shared" si="46"/>
        <v>13.200000000000001</v>
      </c>
      <c r="AF96" s="42">
        <v>0.2</v>
      </c>
      <c r="AG96" s="42">
        <v>100</v>
      </c>
      <c r="AH96" s="507">
        <v>95</v>
      </c>
      <c r="AI96" s="509">
        <v>0.02</v>
      </c>
      <c r="AJ96" s="509">
        <v>0.17</v>
      </c>
      <c r="AK96" s="509"/>
      <c r="AL96" s="509">
        <v>0.04</v>
      </c>
      <c r="AM96" s="646" t="s">
        <v>349</v>
      </c>
      <c r="AN96" s="125">
        <f t="shared" si="47"/>
        <v>0</v>
      </c>
      <c r="AO96" s="15">
        <f t="shared" si="48"/>
        <v>0</v>
      </c>
      <c r="AP96" s="14">
        <f t="shared" si="49"/>
        <v>0</v>
      </c>
      <c r="AQ96" s="14">
        <f t="shared" si="50"/>
        <v>0</v>
      </c>
      <c r="AR96" s="14">
        <f t="shared" si="51"/>
        <v>0</v>
      </c>
      <c r="AS96" s="14">
        <f t="shared" si="52"/>
        <v>0</v>
      </c>
      <c r="AT96" s="13">
        <f t="shared" si="53"/>
        <v>0</v>
      </c>
      <c r="AU96" s="13">
        <f t="shared" si="54"/>
        <v>0</v>
      </c>
      <c r="AV96" s="13">
        <f t="shared" si="55"/>
        <v>0</v>
      </c>
      <c r="AW96" s="13">
        <f t="shared" si="56"/>
        <v>0</v>
      </c>
      <c r="AX96" s="13">
        <f t="shared" si="57"/>
        <v>0</v>
      </c>
      <c r="AY96" s="96">
        <f t="shared" si="58"/>
        <v>0</v>
      </c>
      <c r="AZ96" s="97"/>
      <c r="BA96" s="828"/>
    </row>
    <row r="97" spans="1:53">
      <c r="A97" s="206">
        <v>7</v>
      </c>
      <c r="B97" s="206">
        <v>3</v>
      </c>
      <c r="C97" s="157">
        <v>0.1</v>
      </c>
      <c r="D97" s="915" t="str">
        <f t="shared" si="44"/>
        <v>FRUIT SALAD</v>
      </c>
      <c r="E97" s="916" t="str">
        <f t="shared" si="45"/>
        <v>-</v>
      </c>
      <c r="F97" s="206"/>
      <c r="G97" s="206">
        <v>13</v>
      </c>
      <c r="H97" s="1406"/>
      <c r="I97" s="1514" t="s">
        <v>500</v>
      </c>
      <c r="J97" s="1515"/>
      <c r="K97" s="1516"/>
      <c r="L97" s="319" t="str">
        <f>FIXED(L90*(L85-L86)/(7.75-(3*(L85-1000)/800))/1000,1)</f>
        <v>8.1</v>
      </c>
      <c r="M97" s="316"/>
      <c r="N97" s="311" t="str">
        <f>FIXED(N90*(L85-L86)/(7.75-(3*(L85-1000)/800))/1000)</f>
        <v>1.35</v>
      </c>
      <c r="O97" s="316"/>
      <c r="P97" s="775"/>
      <c r="Q97" s="858"/>
      <c r="R97" s="858"/>
      <c r="S97" s="858"/>
      <c r="T97" s="858"/>
      <c r="U97" s="858"/>
      <c r="V97" s="858"/>
      <c r="W97" s="858"/>
      <c r="X97" s="126"/>
      <c r="Y97" s="339"/>
      <c r="Z97" s="65" t="s">
        <v>532</v>
      </c>
      <c r="AA97" s="65" t="s">
        <v>376</v>
      </c>
      <c r="AB97" s="65" t="s">
        <v>376</v>
      </c>
      <c r="AC97" s="42">
        <v>0.4</v>
      </c>
      <c r="AD97" s="42">
        <v>0.05</v>
      </c>
      <c r="AE97" s="508">
        <f t="shared" si="46"/>
        <v>14.3</v>
      </c>
      <c r="AF97" s="42">
        <v>0.2</v>
      </c>
      <c r="AG97" s="42">
        <v>100</v>
      </c>
      <c r="AH97" s="507">
        <v>80</v>
      </c>
      <c r="AI97" s="509">
        <v>1.4E-2</v>
      </c>
      <c r="AJ97" s="509">
        <v>0.02</v>
      </c>
      <c r="AK97" s="509">
        <v>5.2999999999999999E-2</v>
      </c>
      <c r="AL97" s="509">
        <v>3.2000000000000001E-2</v>
      </c>
      <c r="AM97" s="646"/>
      <c r="AN97" s="125">
        <f t="shared" si="47"/>
        <v>0</v>
      </c>
      <c r="AO97" s="15">
        <f t="shared" si="48"/>
        <v>0</v>
      </c>
      <c r="AP97" s="14">
        <f t="shared" si="49"/>
        <v>0</v>
      </c>
      <c r="AQ97" s="14">
        <f t="shared" si="50"/>
        <v>0</v>
      </c>
      <c r="AR97" s="14">
        <f t="shared" si="51"/>
        <v>0</v>
      </c>
      <c r="AS97" s="14">
        <f t="shared" si="52"/>
        <v>0</v>
      </c>
      <c r="AT97" s="13">
        <f t="shared" si="53"/>
        <v>0</v>
      </c>
      <c r="AU97" s="13">
        <f t="shared" si="54"/>
        <v>0</v>
      </c>
      <c r="AV97" s="13">
        <f t="shared" si="55"/>
        <v>0</v>
      </c>
      <c r="AW97" s="13">
        <f t="shared" si="56"/>
        <v>0</v>
      </c>
      <c r="AX97" s="13">
        <f t="shared" si="57"/>
        <v>0</v>
      </c>
      <c r="AY97" s="96">
        <f t="shared" si="58"/>
        <v>0</v>
      </c>
      <c r="AZ97" s="97"/>
      <c r="BA97" s="828"/>
    </row>
    <row r="98" spans="1:53">
      <c r="A98" s="206">
        <v>7</v>
      </c>
      <c r="B98" s="206">
        <v>3</v>
      </c>
      <c r="C98" s="157">
        <v>0.1</v>
      </c>
      <c r="D98" s="915" t="str">
        <f t="shared" si="44"/>
        <v>GOOSEBERRY</v>
      </c>
      <c r="E98" s="916" t="str">
        <f t="shared" si="45"/>
        <v>-</v>
      </c>
      <c r="F98" s="206"/>
      <c r="G98" s="206">
        <v>22</v>
      </c>
      <c r="H98" s="1406"/>
      <c r="I98" s="339"/>
      <c r="J98" s="339"/>
      <c r="K98" s="339"/>
      <c r="L98" s="339"/>
      <c r="M98" s="339"/>
      <c r="N98" s="339"/>
      <c r="O98" s="339"/>
      <c r="P98" s="339"/>
      <c r="Q98" s="837"/>
      <c r="R98" s="837"/>
      <c r="S98" s="837"/>
      <c r="T98" s="837"/>
      <c r="U98" s="837"/>
      <c r="V98" s="837"/>
      <c r="W98" s="837"/>
      <c r="X98" s="126"/>
      <c r="Y98" s="339"/>
      <c r="Z98" s="65" t="s">
        <v>401</v>
      </c>
      <c r="AA98" s="65" t="s">
        <v>376</v>
      </c>
      <c r="AB98" s="65" t="s">
        <v>376</v>
      </c>
      <c r="AC98" s="42">
        <v>0.7</v>
      </c>
      <c r="AD98" s="42">
        <v>0.05</v>
      </c>
      <c r="AE98" s="508">
        <f t="shared" si="46"/>
        <v>24.200000000000003</v>
      </c>
      <c r="AF98" s="42">
        <v>0.2</v>
      </c>
      <c r="AG98" s="42">
        <v>100</v>
      </c>
      <c r="AH98" s="507">
        <v>77</v>
      </c>
      <c r="AI98" s="509">
        <v>0.02</v>
      </c>
      <c r="AJ98" s="509">
        <v>0.153</v>
      </c>
      <c r="AK98" s="509">
        <v>0.13800000000000001</v>
      </c>
      <c r="AL98" s="509">
        <v>1.2E-2</v>
      </c>
      <c r="AM98" s="646" t="s">
        <v>382</v>
      </c>
      <c r="AN98" s="125">
        <f t="shared" si="47"/>
        <v>0</v>
      </c>
      <c r="AO98" s="15">
        <f t="shared" si="48"/>
        <v>0</v>
      </c>
      <c r="AP98" s="14">
        <f t="shared" si="49"/>
        <v>0</v>
      </c>
      <c r="AQ98" s="14">
        <f t="shared" si="50"/>
        <v>0</v>
      </c>
      <c r="AR98" s="14">
        <f t="shared" si="51"/>
        <v>0</v>
      </c>
      <c r="AS98" s="14">
        <f t="shared" si="52"/>
        <v>0</v>
      </c>
      <c r="AT98" s="13">
        <f t="shared" si="53"/>
        <v>0</v>
      </c>
      <c r="AU98" s="13">
        <f t="shared" si="54"/>
        <v>0</v>
      </c>
      <c r="AV98" s="13">
        <f t="shared" si="55"/>
        <v>0</v>
      </c>
      <c r="AW98" s="13">
        <f t="shared" si="56"/>
        <v>0</v>
      </c>
      <c r="AX98" s="13">
        <f t="shared" si="57"/>
        <v>0</v>
      </c>
      <c r="AY98" s="96">
        <f t="shared" si="58"/>
        <v>0</v>
      </c>
      <c r="AZ98" s="97"/>
      <c r="BA98" s="828"/>
    </row>
    <row r="99" spans="1:53">
      <c r="A99" s="206">
        <v>7</v>
      </c>
      <c r="B99" s="206">
        <v>3</v>
      </c>
      <c r="C99" s="157">
        <v>0.1</v>
      </c>
      <c r="D99" s="915" t="str">
        <f t="shared" si="44"/>
        <v>GRAPEFRUIT</v>
      </c>
      <c r="E99" s="916" t="str">
        <f t="shared" si="45"/>
        <v>-</v>
      </c>
      <c r="F99" s="206"/>
      <c r="G99" s="206">
        <v>8.8000000000000007</v>
      </c>
      <c r="H99" s="1406"/>
      <c r="I99" s="339"/>
      <c r="J99" s="339"/>
      <c r="K99" s="339"/>
      <c r="L99" s="339"/>
      <c r="M99" s="339"/>
      <c r="N99" s="339"/>
      <c r="O99" s="339"/>
      <c r="P99" s="339"/>
      <c r="Q99" s="339"/>
      <c r="R99" s="339"/>
      <c r="S99" s="339"/>
      <c r="T99" s="339"/>
      <c r="U99" s="339"/>
      <c r="V99" s="339"/>
      <c r="W99" s="339"/>
      <c r="X99" s="339"/>
      <c r="Y99" s="339"/>
      <c r="Z99" s="65" t="s">
        <v>438</v>
      </c>
      <c r="AA99" s="65" t="s">
        <v>376</v>
      </c>
      <c r="AB99" s="65" t="s">
        <v>376</v>
      </c>
      <c r="AC99" s="42">
        <v>0.7</v>
      </c>
      <c r="AD99" s="42">
        <v>0.05</v>
      </c>
      <c r="AE99" s="508">
        <f t="shared" si="46"/>
        <v>9.6800000000000015</v>
      </c>
      <c r="AF99" s="42">
        <v>0.2</v>
      </c>
      <c r="AG99" s="42">
        <v>100</v>
      </c>
      <c r="AH99" s="507">
        <v>129</v>
      </c>
      <c r="AI99" s="509">
        <v>3.7999999999999999E-2</v>
      </c>
      <c r="AJ99" s="509">
        <v>0.24299999999999999</v>
      </c>
      <c r="AK99" s="509">
        <v>0.12</v>
      </c>
      <c r="AL99" s="509">
        <v>0.02</v>
      </c>
      <c r="AM99" s="646" t="s">
        <v>377</v>
      </c>
      <c r="AN99" s="125">
        <f t="shared" si="47"/>
        <v>0</v>
      </c>
      <c r="AO99" s="15">
        <f t="shared" si="48"/>
        <v>0</v>
      </c>
      <c r="AP99" s="14">
        <f t="shared" si="49"/>
        <v>0</v>
      </c>
      <c r="AQ99" s="14">
        <f t="shared" si="50"/>
        <v>0</v>
      </c>
      <c r="AR99" s="14">
        <f t="shared" si="51"/>
        <v>0</v>
      </c>
      <c r="AS99" s="14">
        <f t="shared" si="52"/>
        <v>0</v>
      </c>
      <c r="AT99" s="13">
        <f t="shared" si="53"/>
        <v>0</v>
      </c>
      <c r="AU99" s="13">
        <f t="shared" si="54"/>
        <v>0</v>
      </c>
      <c r="AV99" s="13">
        <f t="shared" si="55"/>
        <v>0</v>
      </c>
      <c r="AW99" s="13">
        <f t="shared" si="56"/>
        <v>0</v>
      </c>
      <c r="AX99" s="13">
        <f t="shared" si="57"/>
        <v>0</v>
      </c>
      <c r="AY99" s="96">
        <f t="shared" si="58"/>
        <v>0</v>
      </c>
      <c r="AZ99" s="97"/>
      <c r="BA99" s="828"/>
    </row>
    <row r="100" spans="1:53">
      <c r="A100" s="206">
        <v>7</v>
      </c>
      <c r="B100" s="206">
        <v>3</v>
      </c>
      <c r="C100" s="157">
        <v>0.08</v>
      </c>
      <c r="D100" s="915" t="str">
        <f t="shared" si="44"/>
        <v>BLACK CHERRIES</v>
      </c>
      <c r="E100" s="916" t="str">
        <f t="shared" si="45"/>
        <v>-</v>
      </c>
      <c r="F100" s="206"/>
      <c r="G100" s="206">
        <v>10.4</v>
      </c>
      <c r="H100" s="1406"/>
      <c r="I100" s="339"/>
      <c r="J100" s="1517" t="s">
        <v>533</v>
      </c>
      <c r="K100" s="1517"/>
      <c r="L100" s="1518" t="s">
        <v>534</v>
      </c>
      <c r="M100" s="1518"/>
      <c r="N100" s="1518"/>
      <c r="O100" s="1518"/>
      <c r="P100" s="1518"/>
      <c r="Q100" s="1519" t="s">
        <v>535</v>
      </c>
      <c r="R100" s="1519"/>
      <c r="S100" s="81">
        <v>3.15</v>
      </c>
      <c r="T100" s="865" t="s">
        <v>51</v>
      </c>
      <c r="U100" s="339"/>
      <c r="V100" s="1265" t="s">
        <v>536</v>
      </c>
      <c r="W100" s="1520"/>
      <c r="X100" s="865"/>
      <c r="Y100" s="20"/>
      <c r="Z100" s="65" t="s">
        <v>537</v>
      </c>
      <c r="AA100" s="65" t="s">
        <v>376</v>
      </c>
      <c r="AB100" s="65" t="s">
        <v>376</v>
      </c>
      <c r="AC100" s="42">
        <v>0.2</v>
      </c>
      <c r="AD100" s="42">
        <v>0.05</v>
      </c>
      <c r="AE100" s="508">
        <f t="shared" si="46"/>
        <v>11.440000000000001</v>
      </c>
      <c r="AF100" s="42">
        <v>0.2</v>
      </c>
      <c r="AG100" s="42">
        <v>100</v>
      </c>
      <c r="AH100" s="507">
        <v>148</v>
      </c>
      <c r="AI100" s="509">
        <v>2.1000000000000001E-2</v>
      </c>
      <c r="AJ100" s="509">
        <v>0.40300000000000002</v>
      </c>
      <c r="AK100" s="509">
        <v>0.127</v>
      </c>
      <c r="AL100" s="509">
        <v>0.03</v>
      </c>
      <c r="AM100" s="646" t="s">
        <v>377</v>
      </c>
      <c r="AN100" s="125">
        <f t="shared" si="47"/>
        <v>0</v>
      </c>
      <c r="AO100" s="15">
        <f t="shared" si="48"/>
        <v>0</v>
      </c>
      <c r="AP100" s="14">
        <f t="shared" si="49"/>
        <v>0</v>
      </c>
      <c r="AQ100" s="14">
        <f t="shared" si="50"/>
        <v>0</v>
      </c>
      <c r="AR100" s="14">
        <f t="shared" si="51"/>
        <v>0</v>
      </c>
      <c r="AS100" s="14">
        <f t="shared" si="52"/>
        <v>0</v>
      </c>
      <c r="AT100" s="13">
        <f t="shared" si="53"/>
        <v>0</v>
      </c>
      <c r="AU100" s="13">
        <f t="shared" si="54"/>
        <v>0</v>
      </c>
      <c r="AV100" s="13">
        <f t="shared" si="55"/>
        <v>0</v>
      </c>
      <c r="AW100" s="13">
        <f t="shared" si="56"/>
        <v>0</v>
      </c>
      <c r="AX100" s="13">
        <f t="shared" si="57"/>
        <v>0</v>
      </c>
      <c r="AY100" s="96">
        <f t="shared" si="58"/>
        <v>0</v>
      </c>
      <c r="AZ100" s="97"/>
      <c r="BA100" s="828"/>
    </row>
    <row r="101" spans="1:53">
      <c r="A101" s="206">
        <v>7</v>
      </c>
      <c r="B101" s="206">
        <v>3</v>
      </c>
      <c r="C101" s="157">
        <v>0.1</v>
      </c>
      <c r="D101" s="915" t="str">
        <f t="shared" si="44"/>
        <v>LITCHI (LYCHEE)</v>
      </c>
      <c r="E101" s="916" t="str">
        <f t="shared" si="45"/>
        <v>-</v>
      </c>
      <c r="F101" s="206"/>
      <c r="G101" s="206">
        <v>19</v>
      </c>
      <c r="H101" s="1406"/>
      <c r="I101" s="339"/>
      <c r="J101" s="843"/>
      <c r="K101" s="843"/>
      <c r="L101" s="1518" t="s">
        <v>538</v>
      </c>
      <c r="M101" s="1518"/>
      <c r="N101" s="1518"/>
      <c r="O101" s="1518"/>
      <c r="P101" s="1518"/>
      <c r="Q101" s="1265" t="s">
        <v>122</v>
      </c>
      <c r="R101" s="1266"/>
      <c r="S101" s="1520"/>
      <c r="T101" s="865"/>
      <c r="U101" s="339"/>
      <c r="V101" s="135" t="s">
        <v>124</v>
      </c>
      <c r="W101" s="134" t="s">
        <v>54</v>
      </c>
      <c r="X101" s="865"/>
      <c r="Y101" s="20"/>
      <c r="Z101" s="65" t="s">
        <v>453</v>
      </c>
      <c r="AA101" s="65" t="s">
        <v>376</v>
      </c>
      <c r="AB101" s="65" t="s">
        <v>376</v>
      </c>
      <c r="AC101" s="42">
        <v>0.15</v>
      </c>
      <c r="AD101" s="42">
        <v>0.05</v>
      </c>
      <c r="AE101" s="43">
        <f t="shared" si="46"/>
        <v>20.900000000000002</v>
      </c>
      <c r="AF101" s="42">
        <v>0.2</v>
      </c>
      <c r="AG101" s="42">
        <v>100</v>
      </c>
      <c r="AH101" s="42">
        <v>30</v>
      </c>
      <c r="AI101" s="478">
        <v>0.01</v>
      </c>
      <c r="AJ101" s="478">
        <v>0.15</v>
      </c>
      <c r="AK101" s="478">
        <v>0.1</v>
      </c>
      <c r="AL101" s="478">
        <v>0.01</v>
      </c>
      <c r="AM101" s="646"/>
      <c r="AN101" s="125">
        <f t="shared" si="47"/>
        <v>0</v>
      </c>
      <c r="AO101" s="15">
        <f t="shared" si="48"/>
        <v>0</v>
      </c>
      <c r="AP101" s="14">
        <f t="shared" si="49"/>
        <v>0</v>
      </c>
      <c r="AQ101" s="14">
        <f t="shared" si="50"/>
        <v>0</v>
      </c>
      <c r="AR101" s="14">
        <f t="shared" si="51"/>
        <v>0</v>
      </c>
      <c r="AS101" s="14">
        <f t="shared" si="52"/>
        <v>0</v>
      </c>
      <c r="AT101" s="13">
        <f t="shared" si="53"/>
        <v>0</v>
      </c>
      <c r="AU101" s="13">
        <f t="shared" si="54"/>
        <v>0</v>
      </c>
      <c r="AV101" s="13">
        <f t="shared" si="55"/>
        <v>0</v>
      </c>
      <c r="AW101" s="13">
        <f t="shared" si="56"/>
        <v>0</v>
      </c>
      <c r="AX101" s="13">
        <f t="shared" si="57"/>
        <v>0</v>
      </c>
      <c r="AY101" s="96">
        <f t="shared" si="58"/>
        <v>0</v>
      </c>
      <c r="AZ101" s="97"/>
      <c r="BA101" s="828"/>
    </row>
    <row r="102" spans="1:53">
      <c r="A102" s="206">
        <v>7</v>
      </c>
      <c r="B102" s="206">
        <v>3</v>
      </c>
      <c r="C102" s="157">
        <v>0.19</v>
      </c>
      <c r="D102" s="915" t="str">
        <f t="shared" si="44"/>
        <v>MANGO</v>
      </c>
      <c r="E102" s="916" t="str">
        <f t="shared" si="45"/>
        <v>-</v>
      </c>
      <c r="F102" s="206"/>
      <c r="G102" s="206">
        <v>20</v>
      </c>
      <c r="H102" s="1406"/>
      <c r="I102" s="339"/>
      <c r="J102" s="843"/>
      <c r="K102" s="843"/>
      <c r="L102" s="1518" t="s">
        <v>539</v>
      </c>
      <c r="M102" s="1518"/>
      <c r="N102" s="1518"/>
      <c r="O102" s="1518"/>
      <c r="P102" s="1518"/>
      <c r="Q102" s="82" t="s">
        <v>54</v>
      </c>
      <c r="R102" s="82" t="s">
        <v>123</v>
      </c>
      <c r="S102" s="83" t="s">
        <v>124</v>
      </c>
      <c r="T102" s="865"/>
      <c r="U102" s="266"/>
      <c r="V102" s="136">
        <v>0.25</v>
      </c>
      <c r="W102" s="94">
        <f t="shared" ref="W102:W128" si="59">V102*S$100</f>
        <v>0.78749999999999998</v>
      </c>
      <c r="X102" s="865"/>
      <c r="Y102" s="20"/>
      <c r="Z102" s="65" t="s">
        <v>457</v>
      </c>
      <c r="AA102" s="65" t="s">
        <v>376</v>
      </c>
      <c r="AB102" s="65" t="s">
        <v>376</v>
      </c>
      <c r="AC102" s="42">
        <v>0.25</v>
      </c>
      <c r="AD102" s="42">
        <v>0.05</v>
      </c>
      <c r="AE102" s="43">
        <f t="shared" si="46"/>
        <v>22</v>
      </c>
      <c r="AF102" s="42">
        <v>0.2</v>
      </c>
      <c r="AG102" s="42">
        <v>100</v>
      </c>
      <c r="AH102" s="507">
        <v>48</v>
      </c>
      <c r="AI102" s="509">
        <v>5.3999999999999999E-2</v>
      </c>
      <c r="AJ102" s="509">
        <v>0.28599999999999998</v>
      </c>
      <c r="AK102" s="509">
        <v>3.2000000000000001E-2</v>
      </c>
      <c r="AL102" s="509">
        <v>1.7999999999999999E-2</v>
      </c>
      <c r="AM102" s="646"/>
      <c r="AN102" s="125">
        <f t="shared" si="47"/>
        <v>0</v>
      </c>
      <c r="AO102" s="15">
        <f t="shared" si="48"/>
        <v>0</v>
      </c>
      <c r="AP102" s="14">
        <f t="shared" si="49"/>
        <v>0</v>
      </c>
      <c r="AQ102" s="14">
        <f t="shared" si="50"/>
        <v>0</v>
      </c>
      <c r="AR102" s="14">
        <f t="shared" si="51"/>
        <v>0</v>
      </c>
      <c r="AS102" s="14">
        <f t="shared" si="52"/>
        <v>0</v>
      </c>
      <c r="AT102" s="13">
        <f t="shared" si="53"/>
        <v>0</v>
      </c>
      <c r="AU102" s="13">
        <f t="shared" si="54"/>
        <v>0</v>
      </c>
      <c r="AV102" s="13">
        <f t="shared" si="55"/>
        <v>0</v>
      </c>
      <c r="AW102" s="13">
        <f t="shared" si="56"/>
        <v>0</v>
      </c>
      <c r="AX102" s="13">
        <f t="shared" si="57"/>
        <v>0</v>
      </c>
      <c r="AY102" s="96">
        <f t="shared" si="58"/>
        <v>0</v>
      </c>
      <c r="AZ102" s="97"/>
      <c r="BA102" s="828"/>
    </row>
    <row r="103" spans="1:53">
      <c r="A103" s="206">
        <v>7</v>
      </c>
      <c r="B103" s="206">
        <v>3</v>
      </c>
      <c r="C103" s="157">
        <v>7.0000000000000007E-2</v>
      </c>
      <c r="D103" s="915" t="str">
        <f t="shared" si="44"/>
        <v>ORANGE</v>
      </c>
      <c r="E103" s="916" t="str">
        <f t="shared" si="45"/>
        <v>-</v>
      </c>
      <c r="F103" s="206"/>
      <c r="G103" s="206">
        <v>19</v>
      </c>
      <c r="H103" s="1406"/>
      <c r="I103" s="339"/>
      <c r="J103" s="843"/>
      <c r="K103" s="843"/>
      <c r="L103" s="843"/>
      <c r="M103" s="843"/>
      <c r="N103" s="843"/>
      <c r="O103" s="843"/>
      <c r="P103" s="843"/>
      <c r="Q103" s="84">
        <f>R103*S100</f>
        <v>4.7249999999999996</v>
      </c>
      <c r="R103" s="485">
        <v>1.5</v>
      </c>
      <c r="S103" s="85">
        <f>R103/S100</f>
        <v>0.47619047619047622</v>
      </c>
      <c r="T103" s="865"/>
      <c r="U103" s="868"/>
      <c r="V103" s="136">
        <f t="shared" ref="V103:V127" si="60">V102+0.25</f>
        <v>0.5</v>
      </c>
      <c r="W103" s="94">
        <f t="shared" si="59"/>
        <v>1.575</v>
      </c>
      <c r="X103" s="865"/>
      <c r="Y103" s="20"/>
      <c r="Z103" s="65" t="s">
        <v>467</v>
      </c>
      <c r="AA103" s="65" t="s">
        <v>376</v>
      </c>
      <c r="AB103" s="65" t="s">
        <v>376</v>
      </c>
      <c r="AC103" s="42">
        <v>0.5</v>
      </c>
      <c r="AD103" s="42">
        <v>0.05</v>
      </c>
      <c r="AE103" s="43">
        <f t="shared" si="46"/>
        <v>20.900000000000002</v>
      </c>
      <c r="AF103" s="42">
        <v>0.2</v>
      </c>
      <c r="AG103" s="42">
        <v>100</v>
      </c>
      <c r="AH103" s="42">
        <v>170</v>
      </c>
      <c r="AI103" s="478">
        <v>5.2999999999999999E-2</v>
      </c>
      <c r="AJ103" s="478">
        <v>0.44600000000000001</v>
      </c>
      <c r="AK103" s="478">
        <v>0.125</v>
      </c>
      <c r="AL103" s="478">
        <v>4.2000000000000003E-2</v>
      </c>
      <c r="AM103" s="646" t="s">
        <v>377</v>
      </c>
      <c r="AN103" s="125">
        <f t="shared" si="47"/>
        <v>0</v>
      </c>
      <c r="AO103" s="15">
        <f t="shared" si="48"/>
        <v>0</v>
      </c>
      <c r="AP103" s="14">
        <f t="shared" si="49"/>
        <v>0</v>
      </c>
      <c r="AQ103" s="14">
        <f t="shared" si="50"/>
        <v>0</v>
      </c>
      <c r="AR103" s="14">
        <f t="shared" si="51"/>
        <v>0</v>
      </c>
      <c r="AS103" s="14">
        <f t="shared" si="52"/>
        <v>0</v>
      </c>
      <c r="AT103" s="13">
        <f t="shared" si="53"/>
        <v>0</v>
      </c>
      <c r="AU103" s="13">
        <f t="shared" si="54"/>
        <v>0</v>
      </c>
      <c r="AV103" s="13">
        <f t="shared" si="55"/>
        <v>0</v>
      </c>
      <c r="AW103" s="13">
        <f t="shared" si="56"/>
        <v>0</v>
      </c>
      <c r="AX103" s="13">
        <f t="shared" si="57"/>
        <v>0</v>
      </c>
      <c r="AY103" s="96">
        <f t="shared" si="58"/>
        <v>0</v>
      </c>
      <c r="AZ103" s="97"/>
      <c r="BA103" s="828"/>
    </row>
    <row r="104" spans="1:53">
      <c r="A104" s="206">
        <v>7</v>
      </c>
      <c r="B104" s="206">
        <v>3</v>
      </c>
      <c r="C104" s="157">
        <v>7.0000000000000007E-2</v>
      </c>
      <c r="D104" s="915" t="str">
        <f t="shared" si="44"/>
        <v>PAPAYA (Pawpaw)</v>
      </c>
      <c r="E104" s="916" t="str">
        <f t="shared" si="45"/>
        <v>-</v>
      </c>
      <c r="F104" s="206"/>
      <c r="G104" s="206">
        <v>15</v>
      </c>
      <c r="H104" s="1406"/>
      <c r="I104" s="843"/>
      <c r="J104" s="1288" t="s">
        <v>540</v>
      </c>
      <c r="K104" s="1288"/>
      <c r="L104" s="843"/>
      <c r="M104" s="843"/>
      <c r="N104" s="843"/>
      <c r="O104" s="854"/>
      <c r="P104" s="627" t="s">
        <v>105</v>
      </c>
      <c r="Q104" s="865"/>
      <c r="R104" s="865"/>
      <c r="S104" s="865"/>
      <c r="T104" s="865"/>
      <c r="U104" s="865"/>
      <c r="V104" s="136">
        <f t="shared" si="60"/>
        <v>0.75</v>
      </c>
      <c r="W104" s="94">
        <f t="shared" si="59"/>
        <v>2.3624999999999998</v>
      </c>
      <c r="X104" s="865"/>
      <c r="Y104" s="20"/>
      <c r="Z104" s="65" t="s">
        <v>478</v>
      </c>
      <c r="AA104" s="65" t="s">
        <v>376</v>
      </c>
      <c r="AB104" s="65" t="s">
        <v>376</v>
      </c>
      <c r="AC104" s="42">
        <v>0.1</v>
      </c>
      <c r="AD104" s="42">
        <v>0.05</v>
      </c>
      <c r="AE104" s="43">
        <f t="shared" si="46"/>
        <v>16.5</v>
      </c>
      <c r="AF104" s="42">
        <v>0.2</v>
      </c>
      <c r="AG104" s="42">
        <v>100</v>
      </c>
      <c r="AH104" s="507">
        <v>31</v>
      </c>
      <c r="AI104" s="509">
        <v>0.01</v>
      </c>
      <c r="AJ104" s="509">
        <v>0.15</v>
      </c>
      <c r="AK104" s="509"/>
      <c r="AL104" s="509">
        <v>0.01</v>
      </c>
      <c r="AM104" s="646"/>
      <c r="AN104" s="125">
        <f t="shared" si="47"/>
        <v>0</v>
      </c>
      <c r="AO104" s="15">
        <f t="shared" si="48"/>
        <v>0</v>
      </c>
      <c r="AP104" s="14">
        <f t="shared" si="49"/>
        <v>0</v>
      </c>
      <c r="AQ104" s="14">
        <f t="shared" si="50"/>
        <v>0</v>
      </c>
      <c r="AR104" s="14">
        <f t="shared" si="51"/>
        <v>0</v>
      </c>
      <c r="AS104" s="14">
        <f t="shared" si="52"/>
        <v>0</v>
      </c>
      <c r="AT104" s="13">
        <f t="shared" si="53"/>
        <v>0</v>
      </c>
      <c r="AU104" s="13">
        <f t="shared" si="54"/>
        <v>0</v>
      </c>
      <c r="AV104" s="13">
        <f t="shared" si="55"/>
        <v>0</v>
      </c>
      <c r="AW104" s="13">
        <f t="shared" si="56"/>
        <v>0</v>
      </c>
      <c r="AX104" s="13">
        <f t="shared" si="57"/>
        <v>0</v>
      </c>
      <c r="AY104" s="96">
        <f t="shared" si="58"/>
        <v>0</v>
      </c>
      <c r="AZ104" s="98"/>
      <c r="BA104" s="828"/>
    </row>
    <row r="105" spans="1:53" ht="13.9" customHeight="1">
      <c r="A105" s="206">
        <v>7</v>
      </c>
      <c r="B105" s="206">
        <v>3</v>
      </c>
      <c r="C105" s="157">
        <v>7.0000000000000007E-2</v>
      </c>
      <c r="D105" s="915" t="str">
        <f t="shared" si="44"/>
        <v>PEACHES</v>
      </c>
      <c r="E105" s="916" t="str">
        <f t="shared" si="45"/>
        <v>-</v>
      </c>
      <c r="F105" s="206"/>
      <c r="G105" s="206">
        <v>14</v>
      </c>
      <c r="H105" s="1406"/>
      <c r="I105" s="339"/>
      <c r="J105" s="868"/>
      <c r="K105" s="868"/>
      <c r="L105" s="86" t="s">
        <v>541</v>
      </c>
      <c r="M105" s="207" t="s">
        <v>542</v>
      </c>
      <c r="N105" s="166" t="s">
        <v>543</v>
      </c>
      <c r="O105" s="1521" t="s">
        <v>544</v>
      </c>
      <c r="P105" s="1522"/>
      <c r="Q105" s="86" t="s">
        <v>541</v>
      </c>
      <c r="R105" s="86" t="s">
        <v>542</v>
      </c>
      <c r="S105" s="87" t="s">
        <v>543</v>
      </c>
      <c r="T105" s="88" t="s">
        <v>545</v>
      </c>
      <c r="U105" s="865"/>
      <c r="V105" s="136">
        <f t="shared" si="60"/>
        <v>1</v>
      </c>
      <c r="W105" s="94">
        <f t="shared" si="59"/>
        <v>3.15</v>
      </c>
      <c r="X105" s="865"/>
      <c r="Y105" s="20"/>
      <c r="Z105" s="65" t="s">
        <v>546</v>
      </c>
      <c r="AA105" s="65" t="s">
        <v>376</v>
      </c>
      <c r="AB105" s="65" t="s">
        <v>376</v>
      </c>
      <c r="AC105" s="507">
        <v>0.3</v>
      </c>
      <c r="AD105" s="42">
        <v>0.05</v>
      </c>
      <c r="AE105" s="43">
        <f t="shared" si="46"/>
        <v>15.400000000000002</v>
      </c>
      <c r="AF105" s="42">
        <v>0.2</v>
      </c>
      <c r="AG105" s="42">
        <v>100</v>
      </c>
      <c r="AH105" s="507">
        <v>140</v>
      </c>
      <c r="AI105" s="509">
        <v>8.9999999999999993E-3</v>
      </c>
      <c r="AJ105" s="509">
        <v>0.59299999999999997</v>
      </c>
      <c r="AK105" s="509">
        <v>0.05</v>
      </c>
      <c r="AL105" s="509">
        <v>1.9E-2</v>
      </c>
      <c r="AM105" s="646" t="s">
        <v>349</v>
      </c>
      <c r="AN105" s="125">
        <f t="shared" si="47"/>
        <v>0</v>
      </c>
      <c r="AO105" s="15">
        <f t="shared" si="48"/>
        <v>0</v>
      </c>
      <c r="AP105" s="14">
        <f t="shared" si="49"/>
        <v>0</v>
      </c>
      <c r="AQ105" s="14">
        <f t="shared" si="50"/>
        <v>0</v>
      </c>
      <c r="AR105" s="14">
        <f t="shared" si="51"/>
        <v>0</v>
      </c>
      <c r="AS105" s="14">
        <f t="shared" si="52"/>
        <v>0</v>
      </c>
      <c r="AT105" s="13">
        <f t="shared" si="53"/>
        <v>0</v>
      </c>
      <c r="AU105" s="13">
        <f t="shared" si="54"/>
        <v>0</v>
      </c>
      <c r="AV105" s="13">
        <f t="shared" si="55"/>
        <v>0</v>
      </c>
      <c r="AW105" s="13">
        <f t="shared" si="56"/>
        <v>0</v>
      </c>
      <c r="AX105" s="13">
        <f t="shared" si="57"/>
        <v>0</v>
      </c>
      <c r="AY105" s="96">
        <f t="shared" si="58"/>
        <v>0</v>
      </c>
      <c r="AZ105" s="98"/>
      <c r="BA105" s="828"/>
    </row>
    <row r="106" spans="1:53" ht="13.9" customHeight="1">
      <c r="A106" s="206">
        <v>7</v>
      </c>
      <c r="B106" s="206">
        <v>3</v>
      </c>
      <c r="C106" s="157">
        <v>7.0000000000000007E-2</v>
      </c>
      <c r="D106" s="915" t="str">
        <f t="shared" si="44"/>
        <v>PEARS</v>
      </c>
      <c r="E106" s="916" t="str">
        <f t="shared" si="45"/>
        <v>-</v>
      </c>
      <c r="F106" s="206"/>
      <c r="G106" s="206">
        <v>12.1</v>
      </c>
      <c r="H106" s="1406"/>
      <c r="I106" s="339"/>
      <c r="J106" s="843"/>
      <c r="K106" s="843"/>
      <c r="L106" s="89" t="s">
        <v>51</v>
      </c>
      <c r="M106" s="208" t="s">
        <v>70</v>
      </c>
      <c r="N106" s="83" t="s">
        <v>70</v>
      </c>
      <c r="O106" s="1521"/>
      <c r="P106" s="1522"/>
      <c r="Q106" s="89" t="s">
        <v>51</v>
      </c>
      <c r="R106" s="89" t="s">
        <v>70</v>
      </c>
      <c r="S106" s="83" t="s">
        <v>70</v>
      </c>
      <c r="T106" s="90"/>
      <c r="U106" s="865"/>
      <c r="V106" s="136">
        <f t="shared" si="60"/>
        <v>1.25</v>
      </c>
      <c r="W106" s="94">
        <f t="shared" si="59"/>
        <v>3.9375</v>
      </c>
      <c r="X106" s="865"/>
      <c r="Y106" s="20"/>
      <c r="Z106" s="65" t="s">
        <v>547</v>
      </c>
      <c r="AA106" s="65" t="s">
        <v>376</v>
      </c>
      <c r="AB106" s="65" t="s">
        <v>376</v>
      </c>
      <c r="AC106" s="507">
        <v>0.2</v>
      </c>
      <c r="AD106" s="42">
        <v>0.05</v>
      </c>
      <c r="AE106" s="508">
        <f>G106*1.3</f>
        <v>15.73</v>
      </c>
      <c r="AF106" s="42">
        <v>0.2</v>
      </c>
      <c r="AG106" s="42">
        <v>100</v>
      </c>
      <c r="AH106" s="507">
        <v>66</v>
      </c>
      <c r="AI106" s="509">
        <v>0.01</v>
      </c>
      <c r="AJ106" s="509">
        <v>0.154</v>
      </c>
      <c r="AK106" s="509">
        <v>2.1999999999999999E-2</v>
      </c>
      <c r="AL106" s="509">
        <v>1.4E-2</v>
      </c>
      <c r="AM106" s="646" t="s">
        <v>349</v>
      </c>
      <c r="AN106" s="125">
        <f t="shared" si="47"/>
        <v>0</v>
      </c>
      <c r="AO106" s="15">
        <f t="shared" si="48"/>
        <v>0</v>
      </c>
      <c r="AP106" s="14">
        <f t="shared" si="49"/>
        <v>0</v>
      </c>
      <c r="AQ106" s="14">
        <f t="shared" si="50"/>
        <v>0</v>
      </c>
      <c r="AR106" s="14">
        <f t="shared" si="51"/>
        <v>0</v>
      </c>
      <c r="AS106" s="14">
        <f t="shared" si="52"/>
        <v>0</v>
      </c>
      <c r="AT106" s="13">
        <f t="shared" si="53"/>
        <v>0</v>
      </c>
      <c r="AU106" s="13">
        <f t="shared" si="54"/>
        <v>0</v>
      </c>
      <c r="AV106" s="13">
        <f t="shared" si="55"/>
        <v>0</v>
      </c>
      <c r="AW106" s="13">
        <f t="shared" si="56"/>
        <v>0</v>
      </c>
      <c r="AX106" s="13">
        <f t="shared" si="57"/>
        <v>0</v>
      </c>
      <c r="AY106" s="96">
        <f t="shared" si="58"/>
        <v>0</v>
      </c>
      <c r="AZ106" s="98"/>
      <c r="BA106" s="828"/>
    </row>
    <row r="107" spans="1:53">
      <c r="A107" s="206">
        <v>7</v>
      </c>
      <c r="B107" s="206">
        <v>3</v>
      </c>
      <c r="C107" s="157">
        <v>0.08</v>
      </c>
      <c r="D107" s="915" t="str">
        <f t="shared" si="44"/>
        <v>PINEAPPLE</v>
      </c>
      <c r="E107" s="916" t="str">
        <f t="shared" si="45"/>
        <v>-</v>
      </c>
      <c r="F107" s="206"/>
      <c r="G107" s="206">
        <v>12</v>
      </c>
      <c r="H107" s="1406"/>
      <c r="I107" s="339"/>
      <c r="J107" s="843"/>
      <c r="K107" s="843"/>
      <c r="L107" s="167">
        <v>590</v>
      </c>
      <c r="M107" s="168">
        <f>0.671*L107</f>
        <v>395.89000000000004</v>
      </c>
      <c r="N107" s="92">
        <f>M107+(0.58*L107)</f>
        <v>738.09</v>
      </c>
      <c r="O107" s="482"/>
      <c r="P107" s="483"/>
      <c r="Q107" s="91">
        <v>590</v>
      </c>
      <c r="R107" s="91">
        <v>396</v>
      </c>
      <c r="S107" s="92">
        <f>R107+(0.58*Q107)</f>
        <v>738.2</v>
      </c>
      <c r="T107" s="93">
        <f>1000+375*Q107/S107</f>
        <v>1299.7155242481713</v>
      </c>
      <c r="U107" s="865"/>
      <c r="V107" s="136">
        <f t="shared" si="60"/>
        <v>1.5</v>
      </c>
      <c r="W107" s="94">
        <f t="shared" si="59"/>
        <v>4.7249999999999996</v>
      </c>
      <c r="X107" s="865"/>
      <c r="Y107" s="20"/>
      <c r="Z107" s="65" t="s">
        <v>491</v>
      </c>
      <c r="AA107" s="65" t="s">
        <v>376</v>
      </c>
      <c r="AB107" s="65" t="s">
        <v>376</v>
      </c>
      <c r="AC107" s="507">
        <v>0.17</v>
      </c>
      <c r="AD107" s="42">
        <v>0.05</v>
      </c>
      <c r="AE107" s="508">
        <f>G107*1.1</f>
        <v>13.200000000000001</v>
      </c>
      <c r="AF107" s="42">
        <v>0.2</v>
      </c>
      <c r="AG107" s="42">
        <v>100</v>
      </c>
      <c r="AH107" s="507">
        <v>105</v>
      </c>
      <c r="AI107" s="509">
        <v>9.0999999999999998E-2</v>
      </c>
      <c r="AJ107" s="509">
        <v>0.29199999999999998</v>
      </c>
      <c r="AK107" s="509">
        <v>0.1</v>
      </c>
      <c r="AL107" s="509">
        <v>7.3999999999999996E-2</v>
      </c>
      <c r="AM107" s="646" t="s">
        <v>377</v>
      </c>
      <c r="AN107" s="125">
        <f t="shared" si="47"/>
        <v>0</v>
      </c>
      <c r="AO107" s="15">
        <f t="shared" si="48"/>
        <v>0</v>
      </c>
      <c r="AP107" s="14">
        <f t="shared" si="49"/>
        <v>0</v>
      </c>
      <c r="AQ107" s="14">
        <f t="shared" si="50"/>
        <v>0</v>
      </c>
      <c r="AR107" s="14">
        <f t="shared" si="51"/>
        <v>0</v>
      </c>
      <c r="AS107" s="14">
        <f t="shared" si="52"/>
        <v>0</v>
      </c>
      <c r="AT107" s="13">
        <f t="shared" si="53"/>
        <v>0</v>
      </c>
      <c r="AU107" s="13">
        <f t="shared" si="54"/>
        <v>0</v>
      </c>
      <c r="AV107" s="13">
        <f t="shared" si="55"/>
        <v>0</v>
      </c>
      <c r="AW107" s="13">
        <f t="shared" si="56"/>
        <v>0</v>
      </c>
      <c r="AX107" s="13">
        <f t="shared" si="57"/>
        <v>0</v>
      </c>
      <c r="AY107" s="96">
        <f t="shared" si="58"/>
        <v>0</v>
      </c>
      <c r="AZ107" s="97"/>
      <c r="BA107" s="828"/>
    </row>
    <row r="108" spans="1:53">
      <c r="A108" s="206">
        <v>7</v>
      </c>
      <c r="B108" s="206">
        <v>3</v>
      </c>
      <c r="C108" s="157">
        <v>0.08</v>
      </c>
      <c r="D108" s="915" t="str">
        <f t="shared" si="44"/>
        <v>PLUM</v>
      </c>
      <c r="E108" s="916" t="str">
        <f t="shared" si="45"/>
        <v>-</v>
      </c>
      <c r="F108" s="206"/>
      <c r="G108" s="206">
        <v>15</v>
      </c>
      <c r="H108" s="1406"/>
      <c r="I108" s="339"/>
      <c r="J108" s="843"/>
      <c r="K108" s="843"/>
      <c r="L108" s="843"/>
      <c r="M108" s="843"/>
      <c r="N108" s="843"/>
      <c r="O108" s="843"/>
      <c r="P108" s="843"/>
      <c r="Q108" s="843"/>
      <c r="R108" s="843"/>
      <c r="S108" s="843"/>
      <c r="T108" s="843"/>
      <c r="U108" s="843"/>
      <c r="V108" s="136">
        <f t="shared" si="60"/>
        <v>1.75</v>
      </c>
      <c r="W108" s="94">
        <f t="shared" si="59"/>
        <v>5.5125000000000002</v>
      </c>
      <c r="X108" s="865"/>
      <c r="Y108" s="22"/>
      <c r="Z108" s="65" t="s">
        <v>493</v>
      </c>
      <c r="AA108" s="65" t="s">
        <v>376</v>
      </c>
      <c r="AB108" s="65" t="s">
        <v>376</v>
      </c>
      <c r="AC108" s="42">
        <v>0.7</v>
      </c>
      <c r="AD108" s="42">
        <v>0.05</v>
      </c>
      <c r="AE108" s="508">
        <f>G108*1.1</f>
        <v>16.5</v>
      </c>
      <c r="AF108" s="42">
        <v>0.2</v>
      </c>
      <c r="AG108" s="42">
        <v>100</v>
      </c>
      <c r="AH108" s="507">
        <v>90</v>
      </c>
      <c r="AI108" s="509">
        <v>1.6E-2</v>
      </c>
      <c r="AJ108" s="509">
        <v>0.29699999999999999</v>
      </c>
      <c r="AK108" s="509">
        <v>7.1999999999999995E-2</v>
      </c>
      <c r="AL108" s="509">
        <v>2.7E-2</v>
      </c>
      <c r="AM108" s="646" t="s">
        <v>349</v>
      </c>
      <c r="AN108" s="125">
        <f t="shared" si="47"/>
        <v>0</v>
      </c>
      <c r="AO108" s="15">
        <f t="shared" si="48"/>
        <v>0</v>
      </c>
      <c r="AP108" s="14">
        <f t="shared" si="49"/>
        <v>0</v>
      </c>
      <c r="AQ108" s="14">
        <f t="shared" si="50"/>
        <v>0</v>
      </c>
      <c r="AR108" s="14">
        <f t="shared" si="51"/>
        <v>0</v>
      </c>
      <c r="AS108" s="14">
        <f t="shared" si="52"/>
        <v>0</v>
      </c>
      <c r="AT108" s="13">
        <f t="shared" si="53"/>
        <v>0</v>
      </c>
      <c r="AU108" s="13">
        <f t="shared" si="54"/>
        <v>0</v>
      </c>
      <c r="AV108" s="13">
        <f t="shared" si="55"/>
        <v>0</v>
      </c>
      <c r="AW108" s="13">
        <f t="shared" si="56"/>
        <v>0</v>
      </c>
      <c r="AX108" s="13">
        <f t="shared" si="57"/>
        <v>0</v>
      </c>
      <c r="AY108" s="96">
        <f t="shared" si="58"/>
        <v>0</v>
      </c>
      <c r="AZ108" s="97"/>
      <c r="BA108" s="828"/>
    </row>
    <row r="109" spans="1:53">
      <c r="A109" s="206">
        <v>7</v>
      </c>
      <c r="B109" s="206">
        <v>3</v>
      </c>
      <c r="C109" s="157">
        <v>0.3</v>
      </c>
      <c r="D109" s="915" t="str">
        <f t="shared" si="44"/>
        <v>PRUNES</v>
      </c>
      <c r="E109" s="916" t="str">
        <f t="shared" si="45"/>
        <v>-</v>
      </c>
      <c r="F109" s="206"/>
      <c r="G109" s="206">
        <v>21</v>
      </c>
      <c r="H109" s="1406"/>
      <c r="I109" s="339"/>
      <c r="J109" s="843"/>
      <c r="K109" s="843"/>
      <c r="L109" s="843"/>
      <c r="M109" s="843"/>
      <c r="N109" s="859" t="s">
        <v>548</v>
      </c>
      <c r="O109" s="1523" t="s">
        <v>549</v>
      </c>
      <c r="P109" s="1524"/>
      <c r="Q109" s="853" t="s">
        <v>550</v>
      </c>
      <c r="R109" s="843"/>
      <c r="S109" s="843"/>
      <c r="T109" s="843"/>
      <c r="U109" s="843"/>
      <c r="V109" s="136">
        <f t="shared" si="60"/>
        <v>2</v>
      </c>
      <c r="W109" s="94">
        <f t="shared" si="59"/>
        <v>6.3</v>
      </c>
      <c r="X109" s="865"/>
      <c r="Y109" s="22"/>
      <c r="Z109" s="65" t="s">
        <v>497</v>
      </c>
      <c r="AA109" s="65" t="s">
        <v>376</v>
      </c>
      <c r="AB109" s="65" t="s">
        <v>376</v>
      </c>
      <c r="AC109" s="42">
        <v>0.6</v>
      </c>
      <c r="AD109" s="42">
        <v>0.05</v>
      </c>
      <c r="AE109" s="43">
        <f>G109*1.1</f>
        <v>23.1</v>
      </c>
      <c r="AF109" s="42">
        <v>0.2</v>
      </c>
      <c r="AG109" s="42">
        <v>100</v>
      </c>
      <c r="AH109" s="507">
        <v>270</v>
      </c>
      <c r="AI109" s="509">
        <v>3.4000000000000002E-2</v>
      </c>
      <c r="AJ109" s="509">
        <v>0.86599999999999999</v>
      </c>
      <c r="AK109" s="509">
        <v>0.1</v>
      </c>
      <c r="AL109" s="509">
        <v>0.20300000000000001</v>
      </c>
      <c r="AM109" s="646" t="s">
        <v>349</v>
      </c>
      <c r="AN109" s="125">
        <f t="shared" si="47"/>
        <v>0</v>
      </c>
      <c r="AO109" s="15">
        <f t="shared" si="48"/>
        <v>0</v>
      </c>
      <c r="AP109" s="14">
        <f t="shared" si="49"/>
        <v>0</v>
      </c>
      <c r="AQ109" s="14">
        <f t="shared" si="50"/>
        <v>0</v>
      </c>
      <c r="AR109" s="14">
        <f t="shared" si="51"/>
        <v>0</v>
      </c>
      <c r="AS109" s="14">
        <f t="shared" si="52"/>
        <v>0</v>
      </c>
      <c r="AT109" s="13">
        <f t="shared" si="53"/>
        <v>0</v>
      </c>
      <c r="AU109" s="13">
        <f t="shared" si="54"/>
        <v>0</v>
      </c>
      <c r="AV109" s="13">
        <f t="shared" si="55"/>
        <v>0</v>
      </c>
      <c r="AW109" s="13">
        <f t="shared" si="56"/>
        <v>0</v>
      </c>
      <c r="AX109" s="13">
        <f t="shared" si="57"/>
        <v>0</v>
      </c>
      <c r="AY109" s="96">
        <f t="shared" si="58"/>
        <v>0</v>
      </c>
      <c r="AZ109" s="97"/>
      <c r="BA109" s="828"/>
    </row>
    <row r="110" spans="1:53">
      <c r="A110" s="206">
        <v>7</v>
      </c>
      <c r="B110" s="206">
        <v>3</v>
      </c>
      <c r="C110" s="157">
        <v>0.08</v>
      </c>
      <c r="D110" s="915" t="str">
        <f t="shared" si="44"/>
        <v>RASPBERRY</v>
      </c>
      <c r="E110" s="916" t="str">
        <f t="shared" si="45"/>
        <v>-</v>
      </c>
      <c r="F110" s="206"/>
      <c r="G110" s="206">
        <v>14</v>
      </c>
      <c r="H110" s="1406"/>
      <c r="I110" s="339"/>
      <c r="J110" s="843"/>
      <c r="K110" s="843"/>
      <c r="L110" s="843"/>
      <c r="M110" s="843"/>
      <c r="N110" s="849">
        <f>O110*0.2489/0.262</f>
        <v>0.95</v>
      </c>
      <c r="O110" s="1380">
        <v>1</v>
      </c>
      <c r="P110" s="1381"/>
      <c r="Q110" s="847">
        <f>O110*0.262/0.2489</f>
        <v>1.0526315789473684</v>
      </c>
      <c r="R110" s="843"/>
      <c r="S110" s="4"/>
      <c r="T110" s="4"/>
      <c r="U110" s="4"/>
      <c r="V110" s="137">
        <f t="shared" si="60"/>
        <v>2.25</v>
      </c>
      <c r="W110" s="59">
        <f t="shared" si="59"/>
        <v>7.0874999999999995</v>
      </c>
      <c r="X110" s="865"/>
      <c r="Y110" s="22"/>
      <c r="Z110" s="65" t="s">
        <v>502</v>
      </c>
      <c r="AA110" s="65" t="s">
        <v>376</v>
      </c>
      <c r="AB110" s="65" t="s">
        <v>376</v>
      </c>
      <c r="AC110" s="42">
        <v>0.6</v>
      </c>
      <c r="AD110" s="42">
        <v>0.05</v>
      </c>
      <c r="AE110" s="508">
        <f>G110*1.1</f>
        <v>15.400000000000002</v>
      </c>
      <c r="AF110" s="42">
        <v>0.2</v>
      </c>
      <c r="AG110" s="42">
        <v>100</v>
      </c>
      <c r="AH110" s="507">
        <v>94</v>
      </c>
      <c r="AI110" s="509">
        <v>0.02</v>
      </c>
      <c r="AJ110" s="509">
        <v>0.44</v>
      </c>
      <c r="AK110" s="509">
        <v>0</v>
      </c>
      <c r="AL110" s="509">
        <v>0.04</v>
      </c>
      <c r="AM110" s="646" t="s">
        <v>377</v>
      </c>
      <c r="AN110" s="125">
        <f t="shared" si="47"/>
        <v>0</v>
      </c>
      <c r="AO110" s="15">
        <f t="shared" si="48"/>
        <v>0</v>
      </c>
      <c r="AP110" s="14">
        <f t="shared" si="49"/>
        <v>0</v>
      </c>
      <c r="AQ110" s="14">
        <f t="shared" si="50"/>
        <v>0</v>
      </c>
      <c r="AR110" s="14">
        <f t="shared" si="51"/>
        <v>0</v>
      </c>
      <c r="AS110" s="14">
        <f t="shared" si="52"/>
        <v>0</v>
      </c>
      <c r="AT110" s="13">
        <f t="shared" si="53"/>
        <v>0</v>
      </c>
      <c r="AU110" s="13">
        <f t="shared" si="54"/>
        <v>0</v>
      </c>
      <c r="AV110" s="13">
        <f t="shared" si="55"/>
        <v>0</v>
      </c>
      <c r="AW110" s="13">
        <f t="shared" si="56"/>
        <v>0</v>
      </c>
      <c r="AX110" s="13">
        <f t="shared" si="57"/>
        <v>0</v>
      </c>
      <c r="AY110" s="96">
        <f t="shared" si="58"/>
        <v>0</v>
      </c>
      <c r="AZ110" s="97"/>
      <c r="BA110" s="828"/>
    </row>
    <row r="111" spans="1:53">
      <c r="A111" s="206">
        <v>7</v>
      </c>
      <c r="B111" s="206">
        <v>3</v>
      </c>
      <c r="C111" s="157">
        <v>0.1</v>
      </c>
      <c r="D111" s="915" t="str">
        <f t="shared" si="44"/>
        <v>RHUBARB</v>
      </c>
      <c r="E111" s="916" t="str">
        <f t="shared" si="45"/>
        <v>-</v>
      </c>
      <c r="F111" s="206"/>
      <c r="G111" s="206">
        <v>7</v>
      </c>
      <c r="H111" s="1406"/>
      <c r="I111" s="339"/>
      <c r="J111" s="843"/>
      <c r="K111" s="843"/>
      <c r="L111" s="843"/>
      <c r="M111" s="843"/>
      <c r="N111" s="843"/>
      <c r="O111" s="843"/>
      <c r="P111" s="843"/>
      <c r="Q111" s="843"/>
      <c r="R111" s="843"/>
      <c r="S111" s="850"/>
      <c r="T111" s="850"/>
      <c r="U111" s="850"/>
      <c r="V111" s="136">
        <f t="shared" si="60"/>
        <v>2.5</v>
      </c>
      <c r="W111" s="94">
        <f t="shared" si="59"/>
        <v>7.875</v>
      </c>
      <c r="X111" s="865"/>
      <c r="Y111" s="22"/>
      <c r="Z111" s="65" t="s">
        <v>551</v>
      </c>
      <c r="AA111" s="65" t="s">
        <v>376</v>
      </c>
      <c r="AB111" s="65" t="s">
        <v>376</v>
      </c>
      <c r="AC111" s="42">
        <v>0.7</v>
      </c>
      <c r="AD111" s="42">
        <v>0.05</v>
      </c>
      <c r="AE111" s="43">
        <f>G111*1.3</f>
        <v>9.1</v>
      </c>
      <c r="AF111" s="42">
        <v>0.2</v>
      </c>
      <c r="AG111" s="42">
        <v>100</v>
      </c>
      <c r="AH111" s="42">
        <v>30</v>
      </c>
      <c r="AI111" s="478">
        <v>0.01</v>
      </c>
      <c r="AJ111" s="478">
        <v>0.15</v>
      </c>
      <c r="AK111" s="478">
        <v>0.1</v>
      </c>
      <c r="AL111" s="478">
        <v>0.01</v>
      </c>
      <c r="AM111" s="646" t="s">
        <v>349</v>
      </c>
      <c r="AN111" s="125">
        <f t="shared" si="47"/>
        <v>0</v>
      </c>
      <c r="AO111" s="15">
        <f t="shared" si="48"/>
        <v>0</v>
      </c>
      <c r="AP111" s="14">
        <f t="shared" si="49"/>
        <v>0</v>
      </c>
      <c r="AQ111" s="14">
        <f t="shared" si="50"/>
        <v>0</v>
      </c>
      <c r="AR111" s="14">
        <f t="shared" si="51"/>
        <v>0</v>
      </c>
      <c r="AS111" s="14">
        <f t="shared" si="52"/>
        <v>0</v>
      </c>
      <c r="AT111" s="13">
        <f t="shared" si="53"/>
        <v>0</v>
      </c>
      <c r="AU111" s="13">
        <f t="shared" si="54"/>
        <v>0</v>
      </c>
      <c r="AV111" s="13">
        <f t="shared" si="55"/>
        <v>0</v>
      </c>
      <c r="AW111" s="13">
        <f t="shared" si="56"/>
        <v>0</v>
      </c>
      <c r="AX111" s="13">
        <f t="shared" si="57"/>
        <v>0</v>
      </c>
      <c r="AY111" s="96">
        <f t="shared" si="58"/>
        <v>0</v>
      </c>
      <c r="AZ111" s="98"/>
      <c r="BA111" s="828"/>
    </row>
    <row r="112" spans="1:53">
      <c r="A112" s="206">
        <v>7</v>
      </c>
      <c r="B112" s="206">
        <v>3</v>
      </c>
      <c r="C112" s="157">
        <v>0.06</v>
      </c>
      <c r="D112" s="915" t="str">
        <f t="shared" si="44"/>
        <v>STRAWBERRIES</v>
      </c>
      <c r="E112" s="916" t="str">
        <f t="shared" si="45"/>
        <v>-</v>
      </c>
      <c r="F112" s="206"/>
      <c r="G112" s="206">
        <v>14</v>
      </c>
      <c r="H112" s="1406"/>
      <c r="I112" s="339"/>
      <c r="J112" s="843"/>
      <c r="K112" s="843"/>
      <c r="L112" s="850"/>
      <c r="M112" s="850"/>
      <c r="N112" s="843"/>
      <c r="O112" s="843"/>
      <c r="P112" s="850"/>
      <c r="Q112" s="850"/>
      <c r="R112" s="850"/>
      <c r="S112" s="850"/>
      <c r="T112" s="850"/>
      <c r="U112" s="850"/>
      <c r="V112" s="136">
        <f t="shared" si="60"/>
        <v>2.75</v>
      </c>
      <c r="W112" s="94">
        <f t="shared" si="59"/>
        <v>8.6624999999999996</v>
      </c>
      <c r="X112" s="865"/>
      <c r="Y112" s="22"/>
      <c r="Z112" s="65" t="s">
        <v>552</v>
      </c>
      <c r="AA112" s="65" t="s">
        <v>376</v>
      </c>
      <c r="AB112" s="65" t="s">
        <v>376</v>
      </c>
      <c r="AC112" s="42">
        <v>0.6</v>
      </c>
      <c r="AD112" s="42">
        <v>0.05</v>
      </c>
      <c r="AE112" s="508">
        <f>G112*1.1</f>
        <v>15.400000000000002</v>
      </c>
      <c r="AF112" s="42">
        <v>0.2</v>
      </c>
      <c r="AG112" s="42">
        <v>100</v>
      </c>
      <c r="AH112" s="507">
        <v>86</v>
      </c>
      <c r="AI112" s="509">
        <v>0.02</v>
      </c>
      <c r="AJ112" s="509">
        <v>0.06</v>
      </c>
      <c r="AK112" s="509">
        <v>0.17899999999999999</v>
      </c>
      <c r="AL112" s="509">
        <v>0.05</v>
      </c>
      <c r="AM112" s="646" t="s">
        <v>377</v>
      </c>
      <c r="AN112" s="125">
        <f t="shared" si="47"/>
        <v>0</v>
      </c>
      <c r="AO112" s="15">
        <f t="shared" si="48"/>
        <v>0</v>
      </c>
      <c r="AP112" s="14">
        <f t="shared" si="49"/>
        <v>0</v>
      </c>
      <c r="AQ112" s="14">
        <f t="shared" si="50"/>
        <v>0</v>
      </c>
      <c r="AR112" s="14">
        <f t="shared" si="51"/>
        <v>0</v>
      </c>
      <c r="AS112" s="14">
        <f t="shared" si="52"/>
        <v>0</v>
      </c>
      <c r="AT112" s="13">
        <f t="shared" si="53"/>
        <v>0</v>
      </c>
      <c r="AU112" s="13">
        <f t="shared" si="54"/>
        <v>0</v>
      </c>
      <c r="AV112" s="13">
        <f t="shared" si="55"/>
        <v>0</v>
      </c>
      <c r="AW112" s="13">
        <f t="shared" si="56"/>
        <v>0</v>
      </c>
      <c r="AX112" s="13">
        <f t="shared" si="57"/>
        <v>0</v>
      </c>
      <c r="AY112" s="96">
        <f t="shared" si="58"/>
        <v>0</v>
      </c>
      <c r="AZ112" s="98"/>
      <c r="BA112" s="828"/>
    </row>
    <row r="113" spans="1:53">
      <c r="A113" s="206">
        <v>7</v>
      </c>
      <c r="B113" s="206">
        <v>3</v>
      </c>
      <c r="C113" s="157">
        <v>7.0000000000000007E-2</v>
      </c>
      <c r="D113" s="915" t="str">
        <f t="shared" si="44"/>
        <v>TANGERINE</v>
      </c>
      <c r="E113" s="916" t="str">
        <f t="shared" si="45"/>
        <v>-</v>
      </c>
      <c r="F113" s="206"/>
      <c r="G113" s="206">
        <v>8</v>
      </c>
      <c r="H113" s="1406"/>
      <c r="I113" s="339"/>
      <c r="J113" s="1525" t="s">
        <v>553</v>
      </c>
      <c r="K113" s="1525"/>
      <c r="L113" s="1525"/>
      <c r="M113" s="860"/>
      <c r="N113" s="843"/>
      <c r="O113" s="1396" t="s">
        <v>554</v>
      </c>
      <c r="P113" s="1396"/>
      <c r="Q113" s="1396"/>
      <c r="R113" s="5"/>
      <c r="S113" s="5"/>
      <c r="T113" s="865"/>
      <c r="U113" s="850"/>
      <c r="V113" s="136">
        <f t="shared" si="60"/>
        <v>3</v>
      </c>
      <c r="W113" s="94">
        <f t="shared" si="59"/>
        <v>9.4499999999999993</v>
      </c>
      <c r="X113" s="865"/>
      <c r="Y113" s="22"/>
      <c r="Z113" s="65" t="s">
        <v>522</v>
      </c>
      <c r="AA113" s="65" t="s">
        <v>376</v>
      </c>
      <c r="AB113" s="65" t="s">
        <v>376</v>
      </c>
      <c r="AC113" s="42">
        <v>0.5</v>
      </c>
      <c r="AD113" s="42">
        <v>0.05</v>
      </c>
      <c r="AE113" s="43">
        <f>G113*1.1</f>
        <v>8.8000000000000007</v>
      </c>
      <c r="AF113" s="42">
        <v>0.2</v>
      </c>
      <c r="AG113" s="42">
        <v>100</v>
      </c>
      <c r="AH113" s="507">
        <v>170</v>
      </c>
      <c r="AI113" s="509">
        <v>5.2999999999999999E-2</v>
      </c>
      <c r="AJ113" s="509">
        <v>0.44600000000000001</v>
      </c>
      <c r="AK113" s="509">
        <v>0.125</v>
      </c>
      <c r="AL113" s="509">
        <v>4.2000000000000003E-2</v>
      </c>
      <c r="AM113" s="646" t="s">
        <v>377</v>
      </c>
      <c r="AN113" s="125">
        <f t="shared" si="47"/>
        <v>0</v>
      </c>
      <c r="AO113" s="15">
        <f t="shared" si="48"/>
        <v>0</v>
      </c>
      <c r="AP113" s="14">
        <f t="shared" si="49"/>
        <v>0</v>
      </c>
      <c r="AQ113" s="14">
        <f t="shared" si="50"/>
        <v>0</v>
      </c>
      <c r="AR113" s="14">
        <f t="shared" si="51"/>
        <v>0</v>
      </c>
      <c r="AS113" s="14">
        <f t="shared" si="52"/>
        <v>0</v>
      </c>
      <c r="AT113" s="13">
        <f t="shared" si="53"/>
        <v>0</v>
      </c>
      <c r="AU113" s="13">
        <f t="shared" si="54"/>
        <v>0</v>
      </c>
      <c r="AV113" s="13">
        <f t="shared" si="55"/>
        <v>0</v>
      </c>
      <c r="AW113" s="13">
        <f t="shared" si="56"/>
        <v>0</v>
      </c>
      <c r="AX113" s="13">
        <f t="shared" si="57"/>
        <v>0</v>
      </c>
      <c r="AY113" s="96">
        <f t="shared" si="58"/>
        <v>0</v>
      </c>
      <c r="AZ113" s="98"/>
      <c r="BA113" s="828"/>
    </row>
    <row r="114" spans="1:53">
      <c r="A114" s="206">
        <v>7</v>
      </c>
      <c r="B114" s="206">
        <v>3</v>
      </c>
      <c r="C114" s="157">
        <v>0</v>
      </c>
      <c r="D114" s="915" t="str">
        <f t="shared" si="44"/>
        <v>OTHER</v>
      </c>
      <c r="E114" s="916" t="str">
        <f t="shared" si="45"/>
        <v>-</v>
      </c>
      <c r="F114" s="206"/>
      <c r="G114" s="206">
        <v>8</v>
      </c>
      <c r="H114" s="1406"/>
      <c r="I114" s="339"/>
      <c r="J114" s="1471" t="s">
        <v>555</v>
      </c>
      <c r="K114" s="1473" t="s">
        <v>556</v>
      </c>
      <c r="L114" s="1475" t="s">
        <v>557</v>
      </c>
      <c r="M114" s="860"/>
      <c r="N114" s="843"/>
      <c r="O114" s="1085" t="s">
        <v>558</v>
      </c>
      <c r="P114" s="1085"/>
      <c r="Q114" s="1085"/>
      <c r="R114" s="1085"/>
      <c r="S114" s="1085"/>
      <c r="T114" s="1085"/>
      <c r="U114" s="850"/>
      <c r="V114" s="136">
        <f t="shared" si="60"/>
        <v>3.25</v>
      </c>
      <c r="W114" s="94">
        <f t="shared" si="59"/>
        <v>10.237499999999999</v>
      </c>
      <c r="X114" s="865"/>
      <c r="Y114" s="22"/>
      <c r="Z114" s="65" t="s">
        <v>474</v>
      </c>
      <c r="AA114" s="65" t="s">
        <v>376</v>
      </c>
      <c r="AB114" s="65" t="s">
        <v>376</v>
      </c>
      <c r="AC114" s="507">
        <v>0</v>
      </c>
      <c r="AD114" s="507">
        <v>0</v>
      </c>
      <c r="AE114" s="43">
        <f>G114*1.1</f>
        <v>8.8000000000000007</v>
      </c>
      <c r="AF114" s="507">
        <v>0</v>
      </c>
      <c r="AG114" s="507">
        <v>0</v>
      </c>
      <c r="AH114" s="507">
        <v>0</v>
      </c>
      <c r="AI114" s="509">
        <v>0</v>
      </c>
      <c r="AJ114" s="509">
        <v>0</v>
      </c>
      <c r="AK114" s="509">
        <v>0</v>
      </c>
      <c r="AL114" s="509">
        <v>0</v>
      </c>
      <c r="AM114" s="644"/>
      <c r="AN114" s="125">
        <f t="shared" si="47"/>
        <v>0</v>
      </c>
      <c r="AO114" s="15">
        <f t="shared" si="48"/>
        <v>0</v>
      </c>
      <c r="AP114" s="14">
        <f t="shared" si="49"/>
        <v>0</v>
      </c>
      <c r="AQ114" s="14">
        <f t="shared" si="50"/>
        <v>0</v>
      </c>
      <c r="AR114" s="14">
        <f t="shared" si="51"/>
        <v>0</v>
      </c>
      <c r="AS114" s="14">
        <f t="shared" si="52"/>
        <v>0</v>
      </c>
      <c r="AT114" s="13">
        <f t="shared" si="53"/>
        <v>0</v>
      </c>
      <c r="AU114" s="13">
        <f t="shared" si="54"/>
        <v>0</v>
      </c>
      <c r="AV114" s="13">
        <f t="shared" si="55"/>
        <v>0</v>
      </c>
      <c r="AW114" s="13">
        <f t="shared" si="56"/>
        <v>0</v>
      </c>
      <c r="AX114" s="13">
        <f t="shared" si="57"/>
        <v>0</v>
      </c>
      <c r="AY114" s="96">
        <f t="shared" si="58"/>
        <v>0</v>
      </c>
      <c r="AZ114" s="98"/>
      <c r="BA114" s="828"/>
    </row>
    <row r="115" spans="1:53" ht="13.9" customHeight="1">
      <c r="A115" s="1479" t="s">
        <v>989</v>
      </c>
      <c r="B115" s="1469" t="s">
        <v>338</v>
      </c>
      <c r="C115" s="1481" t="s">
        <v>559</v>
      </c>
      <c r="D115" s="1477" t="s">
        <v>560</v>
      </c>
      <c r="E115" s="1478"/>
      <c r="F115" s="425" t="s">
        <v>115</v>
      </c>
      <c r="G115" s="240" t="s">
        <v>319</v>
      </c>
      <c r="H115" s="76"/>
      <c r="I115" s="339"/>
      <c r="J115" s="1472"/>
      <c r="K115" s="1474"/>
      <c r="L115" s="1476"/>
      <c r="M115" s="860"/>
      <c r="N115" s="843"/>
      <c r="O115" s="1417" t="s">
        <v>561</v>
      </c>
      <c r="P115" s="1418"/>
      <c r="Q115" s="162">
        <v>40</v>
      </c>
      <c r="R115" s="1422" t="s">
        <v>562</v>
      </c>
      <c r="S115" s="1423"/>
      <c r="T115" s="865"/>
      <c r="U115" s="850"/>
      <c r="V115" s="136">
        <f t="shared" si="60"/>
        <v>3.5</v>
      </c>
      <c r="W115" s="94">
        <f t="shared" si="59"/>
        <v>11.025</v>
      </c>
      <c r="X115" s="865"/>
      <c r="Y115" s="22"/>
      <c r="AM115" s="643"/>
      <c r="AZ115" s="98"/>
      <c r="BA115" s="828"/>
    </row>
    <row r="116" spans="1:53">
      <c r="A116" s="1480"/>
      <c r="B116" s="1470"/>
      <c r="C116" s="1482"/>
      <c r="D116" s="1483" t="s">
        <v>563</v>
      </c>
      <c r="E116" s="1484"/>
      <c r="F116" s="426" t="s">
        <v>70</v>
      </c>
      <c r="G116" s="83" t="s">
        <v>564</v>
      </c>
      <c r="H116" s="76"/>
      <c r="I116" s="339"/>
      <c r="J116" s="1023" t="s">
        <v>565</v>
      </c>
      <c r="K116" s="41">
        <v>67</v>
      </c>
      <c r="L116" s="264">
        <v>6.7</v>
      </c>
      <c r="M116" s="860"/>
      <c r="N116" s="843"/>
      <c r="O116" s="1401" t="s">
        <v>566</v>
      </c>
      <c r="P116" s="1402"/>
      <c r="Q116" s="163">
        <v>11.4</v>
      </c>
      <c r="R116" s="1424"/>
      <c r="S116" s="1425"/>
      <c r="T116" s="865"/>
      <c r="U116" s="850"/>
      <c r="V116" s="136">
        <f t="shared" si="60"/>
        <v>3.75</v>
      </c>
      <c r="W116" s="94">
        <f t="shared" si="59"/>
        <v>11.8125</v>
      </c>
      <c r="X116" s="865"/>
      <c r="Y116" s="22"/>
      <c r="Z116" s="1400" t="s">
        <v>560</v>
      </c>
      <c r="AA116" s="1400"/>
      <c r="AB116" s="1400"/>
      <c r="AC116" s="1400"/>
      <c r="AD116" s="1400"/>
      <c r="AE116" s="1400"/>
      <c r="AF116" s="1400"/>
      <c r="AG116" s="1400"/>
      <c r="AH116" s="1400"/>
      <c r="AI116" s="1400"/>
      <c r="AJ116" s="1400"/>
      <c r="AK116" s="1400"/>
      <c r="AL116" s="1400"/>
      <c r="AM116" s="645"/>
      <c r="AN116" s="57"/>
      <c r="AO116" s="57"/>
      <c r="AP116" s="57"/>
      <c r="AQ116" s="57"/>
      <c r="AR116" s="57"/>
      <c r="AS116" s="57"/>
      <c r="AT116" s="57"/>
      <c r="AU116" s="57"/>
      <c r="AV116" s="57"/>
      <c r="AW116" s="57"/>
      <c r="AX116" s="57"/>
      <c r="AY116" s="57"/>
      <c r="AZ116" s="57"/>
      <c r="BA116" s="828"/>
    </row>
    <row r="117" spans="1:53" ht="13.9" customHeight="1">
      <c r="A117" s="1403"/>
      <c r="B117" s="205">
        <v>3</v>
      </c>
      <c r="C117" s="467">
        <v>0</v>
      </c>
      <c r="D117" s="915" t="str">
        <f t="shared" ref="D117:D128" si="61">Z117</f>
        <v>APPLE</v>
      </c>
      <c r="E117" s="916" t="str">
        <f t="shared" ref="E117:E129" si="62">AA117</f>
        <v>-</v>
      </c>
      <c r="F117" s="206">
        <v>2000</v>
      </c>
      <c r="G117" s="206">
        <v>10.199999999999999</v>
      </c>
      <c r="H117" s="1406" t="s">
        <v>567</v>
      </c>
      <c r="I117" s="1407" t="s">
        <v>568</v>
      </c>
      <c r="J117" s="1023" t="s">
        <v>569</v>
      </c>
      <c r="K117" s="41">
        <v>44</v>
      </c>
      <c r="L117" s="264">
        <v>3.8</v>
      </c>
      <c r="M117" s="860"/>
      <c r="N117" s="843"/>
      <c r="O117" s="1401" t="s">
        <v>570</v>
      </c>
      <c r="P117" s="1402"/>
      <c r="Q117" s="163">
        <v>25</v>
      </c>
      <c r="R117" s="1426"/>
      <c r="S117" s="1427"/>
      <c r="T117" s="865"/>
      <c r="U117" s="850"/>
      <c r="V117" s="136">
        <f t="shared" si="60"/>
        <v>4</v>
      </c>
      <c r="W117" s="94">
        <f t="shared" si="59"/>
        <v>12.6</v>
      </c>
      <c r="X117" s="865"/>
      <c r="Y117" s="22"/>
      <c r="Z117" s="65" t="s">
        <v>347</v>
      </c>
      <c r="AA117" s="65" t="s">
        <v>376</v>
      </c>
      <c r="AB117" s="65" t="s">
        <v>376</v>
      </c>
      <c r="AC117" s="507">
        <v>0.69</v>
      </c>
      <c r="AD117" s="42">
        <v>0.01</v>
      </c>
      <c r="AE117" s="833">
        <f t="shared" ref="AE117:AE127" si="63">G117*1.01</f>
        <v>10.302</v>
      </c>
      <c r="AF117" s="507">
        <v>0.2</v>
      </c>
      <c r="AG117" s="603">
        <v>33</v>
      </c>
      <c r="AH117" s="507">
        <v>115</v>
      </c>
      <c r="AI117" s="509">
        <v>0.02</v>
      </c>
      <c r="AJ117" s="509">
        <v>0.1</v>
      </c>
      <c r="AK117" s="509">
        <v>4.9000000000000002E-2</v>
      </c>
      <c r="AL117" s="509">
        <v>0.03</v>
      </c>
      <c r="AM117" s="815"/>
      <c r="AN117" s="606">
        <f t="shared" ref="AN117:AN131" si="64">C$132*C117*F117</f>
        <v>0</v>
      </c>
      <c r="AO117" s="19">
        <f t="shared" ref="AO117:AO131" si="65">($F117*G117/100)</f>
        <v>204</v>
      </c>
      <c r="AP117" s="95">
        <f t="shared" ref="AP117:AP131" si="66">($F117*AC117/100)</f>
        <v>13.8</v>
      </c>
      <c r="AQ117" s="99">
        <f t="shared" ref="AQ117:AQ131" si="67">($F117*AD117/100)</f>
        <v>0.2</v>
      </c>
      <c r="AR117" s="100">
        <f t="shared" ref="AR117:AR131" si="68">F117*(AE117-G117)/100</f>
        <v>2.0400000000000063</v>
      </c>
      <c r="AS117" s="100">
        <f t="shared" ref="AS117:AS131" si="69">F117*AF117/1200</f>
        <v>0.33333333333333331</v>
      </c>
      <c r="AT117" s="96">
        <f t="shared" ref="AT117:AT131" si="70">$F117*AG117/100</f>
        <v>660</v>
      </c>
      <c r="AU117" s="96">
        <f t="shared" ref="AU117:AU131" si="71">$F117*AH117/100</f>
        <v>2300</v>
      </c>
      <c r="AV117" s="96">
        <f t="shared" ref="AV117:AV131" si="72">$F117*AI117/100</f>
        <v>0.4</v>
      </c>
      <c r="AW117" s="96">
        <f t="shared" ref="AW117:AW131" si="73">$F117*AJ117/100</f>
        <v>2</v>
      </c>
      <c r="AX117" s="96">
        <f t="shared" ref="AX117:AX131" si="74">$F117*AK117/100</f>
        <v>0.98</v>
      </c>
      <c r="AY117" s="96">
        <f t="shared" ref="AY117:AY131" si="75">$F117*AL117/100</f>
        <v>0.6</v>
      </c>
      <c r="AZ117" s="38"/>
      <c r="BA117" s="828"/>
    </row>
    <row r="118" spans="1:53">
      <c r="A118" s="1404"/>
      <c r="B118" s="206">
        <v>3</v>
      </c>
      <c r="C118" s="467">
        <v>0</v>
      </c>
      <c r="D118" s="915" t="str">
        <f t="shared" si="61"/>
        <v>CRANBERRY</v>
      </c>
      <c r="E118" s="916" t="str">
        <f t="shared" si="62"/>
        <v>-</v>
      </c>
      <c r="F118" s="206"/>
      <c r="G118" s="206">
        <v>11.5</v>
      </c>
      <c r="H118" s="1406"/>
      <c r="I118" s="1407"/>
      <c r="J118" s="1023" t="s">
        <v>571</v>
      </c>
      <c r="K118" s="41">
        <v>55</v>
      </c>
      <c r="L118" s="264">
        <v>5</v>
      </c>
      <c r="M118" s="860"/>
      <c r="N118" s="843"/>
      <c r="O118" s="1408" t="s">
        <v>572</v>
      </c>
      <c r="P118" s="1409"/>
      <c r="Q118" s="163">
        <v>4.5</v>
      </c>
      <c r="R118" s="1410" t="str">
        <f>"litres or "&amp;FIXED(200*Q118/SUM(Q118:Q120),1)&amp;"% wine"</f>
        <v>litres or 52.4% wine</v>
      </c>
      <c r="S118" s="1411"/>
      <c r="T118" s="865"/>
      <c r="U118" s="850"/>
      <c r="V118" s="136">
        <f t="shared" si="60"/>
        <v>4.25</v>
      </c>
      <c r="W118" s="94">
        <f t="shared" si="59"/>
        <v>13.387499999999999</v>
      </c>
      <c r="X118" s="865"/>
      <c r="Y118" s="22"/>
      <c r="Z118" s="65" t="s">
        <v>392</v>
      </c>
      <c r="AA118" s="65" t="s">
        <v>376</v>
      </c>
      <c r="AB118" s="65" t="s">
        <v>376</v>
      </c>
      <c r="AC118" s="42">
        <v>0.8</v>
      </c>
      <c r="AD118" s="42">
        <v>0.2</v>
      </c>
      <c r="AE118" s="833">
        <f t="shared" si="63"/>
        <v>11.615</v>
      </c>
      <c r="AF118" s="42">
        <v>0.2</v>
      </c>
      <c r="AG118" s="507">
        <v>0.1</v>
      </c>
      <c r="AH118" s="507">
        <v>75</v>
      </c>
      <c r="AI118" s="509">
        <v>8.9999999999999993E-3</v>
      </c>
      <c r="AJ118" s="509">
        <v>9.0999999999999998E-2</v>
      </c>
      <c r="AK118" s="509">
        <v>0</v>
      </c>
      <c r="AL118" s="509">
        <v>5.1999999999999998E-2</v>
      </c>
      <c r="AM118" s="646"/>
      <c r="AN118" s="606">
        <f t="shared" si="64"/>
        <v>0</v>
      </c>
      <c r="AO118" s="19">
        <f>($F118*G118/100)</f>
        <v>0</v>
      </c>
      <c r="AP118" s="95">
        <f>($F118*AC118/100)</f>
        <v>0</v>
      </c>
      <c r="AQ118" s="99">
        <f>($F118*AD118/100)</f>
        <v>0</v>
      </c>
      <c r="AR118" s="100">
        <f t="shared" si="68"/>
        <v>0</v>
      </c>
      <c r="AS118" s="100">
        <f t="shared" si="69"/>
        <v>0</v>
      </c>
      <c r="AT118" s="96">
        <f t="shared" ref="AT118:AY118" si="76">$F118*AG118/100</f>
        <v>0</v>
      </c>
      <c r="AU118" s="96">
        <f t="shared" si="76"/>
        <v>0</v>
      </c>
      <c r="AV118" s="96">
        <f t="shared" si="76"/>
        <v>0</v>
      </c>
      <c r="AW118" s="96">
        <f t="shared" si="76"/>
        <v>0</v>
      </c>
      <c r="AX118" s="96">
        <f t="shared" si="76"/>
        <v>0</v>
      </c>
      <c r="AY118" s="96">
        <f t="shared" si="76"/>
        <v>0</v>
      </c>
      <c r="AZ118" s="38"/>
      <c r="BA118" s="828"/>
    </row>
    <row r="119" spans="1:53">
      <c r="A119" s="1404"/>
      <c r="B119" s="206">
        <v>3</v>
      </c>
      <c r="C119" s="467">
        <v>0</v>
      </c>
      <c r="D119" s="915" t="str">
        <f t="shared" si="61"/>
        <v>GRAPE</v>
      </c>
      <c r="E119" s="916" t="str">
        <f t="shared" si="62"/>
        <v>WHITE</v>
      </c>
      <c r="F119" s="206"/>
      <c r="G119" s="206">
        <v>16.100000000000001</v>
      </c>
      <c r="H119" s="1406"/>
      <c r="I119" s="1407"/>
      <c r="J119" s="1023" t="s">
        <v>573</v>
      </c>
      <c r="K119" s="41">
        <v>74</v>
      </c>
      <c r="L119" s="264">
        <v>4.0999999999999996</v>
      </c>
      <c r="M119" s="860"/>
      <c r="N119" s="843"/>
      <c r="O119" s="1412" t="s">
        <v>574</v>
      </c>
      <c r="P119" s="1413"/>
      <c r="Q119" s="212">
        <f>((Q117-Q116)/(Q115-Q117))*Q118</f>
        <v>4.08</v>
      </c>
      <c r="R119" s="1412" t="str">
        <f>"litres or "&amp;FIXED(200*Q119/SUM(Q118:Q120),1)&amp;"% spirit"</f>
        <v>litres or 47.6% spirit</v>
      </c>
      <c r="S119" s="1413"/>
      <c r="T119" s="865"/>
      <c r="U119" s="850"/>
      <c r="V119" s="136">
        <f t="shared" si="60"/>
        <v>4.5</v>
      </c>
      <c r="W119" s="94">
        <f t="shared" si="59"/>
        <v>14.174999999999999</v>
      </c>
      <c r="X119" s="865"/>
      <c r="Y119" s="22"/>
      <c r="Z119" s="65" t="s">
        <v>412</v>
      </c>
      <c r="AA119" s="65" t="s">
        <v>416</v>
      </c>
      <c r="AB119" s="65" t="s">
        <v>376</v>
      </c>
      <c r="AC119" s="507">
        <v>0.72</v>
      </c>
      <c r="AD119" s="507">
        <v>0.02</v>
      </c>
      <c r="AE119" s="833">
        <f t="shared" si="63"/>
        <v>16.261000000000003</v>
      </c>
      <c r="AF119" s="42">
        <v>0.2</v>
      </c>
      <c r="AG119" s="42">
        <v>380</v>
      </c>
      <c r="AH119" s="507">
        <v>130</v>
      </c>
      <c r="AI119" s="509">
        <v>0.03</v>
      </c>
      <c r="AJ119" s="509">
        <v>0.26</v>
      </c>
      <c r="AK119" s="509">
        <v>4.8000000000000001E-2</v>
      </c>
      <c r="AL119" s="509">
        <v>7.0000000000000007E-2</v>
      </c>
      <c r="AM119" s="646" t="s">
        <v>414</v>
      </c>
      <c r="AN119" s="606">
        <f t="shared" si="64"/>
        <v>0</v>
      </c>
      <c r="AO119" s="19">
        <f t="shared" si="65"/>
        <v>0</v>
      </c>
      <c r="AP119" s="95">
        <f t="shared" si="66"/>
        <v>0</v>
      </c>
      <c r="AQ119" s="99">
        <f t="shared" si="67"/>
        <v>0</v>
      </c>
      <c r="AR119" s="100">
        <f t="shared" si="68"/>
        <v>0</v>
      </c>
      <c r="AS119" s="100">
        <f t="shared" si="69"/>
        <v>0</v>
      </c>
      <c r="AT119" s="96">
        <f t="shared" si="70"/>
        <v>0</v>
      </c>
      <c r="AU119" s="96">
        <f t="shared" si="71"/>
        <v>0</v>
      </c>
      <c r="AV119" s="96">
        <f t="shared" si="72"/>
        <v>0</v>
      </c>
      <c r="AW119" s="96">
        <f t="shared" si="73"/>
        <v>0</v>
      </c>
      <c r="AX119" s="96">
        <f t="shared" si="74"/>
        <v>0</v>
      </c>
      <c r="AY119" s="96">
        <f t="shared" si="75"/>
        <v>0</v>
      </c>
      <c r="AZ119" s="38"/>
      <c r="BA119" s="828"/>
    </row>
    <row r="120" spans="1:53">
      <c r="A120" s="1404"/>
      <c r="B120" s="206">
        <v>3</v>
      </c>
      <c r="C120" s="467">
        <v>0</v>
      </c>
      <c r="D120" s="915" t="str">
        <f t="shared" si="61"/>
        <v xml:space="preserve">      "</v>
      </c>
      <c r="E120" s="916" t="str">
        <f t="shared" si="62"/>
        <v>RED</v>
      </c>
      <c r="F120" s="206">
        <v>1000</v>
      </c>
      <c r="G120" s="206">
        <v>15.3</v>
      </c>
      <c r="H120" s="1406"/>
      <c r="I120" s="1407"/>
      <c r="J120" s="1023" t="s">
        <v>575</v>
      </c>
      <c r="K120" s="41">
        <v>52</v>
      </c>
      <c r="L120" s="264">
        <v>9.4</v>
      </c>
      <c r="M120" s="860"/>
      <c r="N120" s="843"/>
      <c r="O120" s="1412" t="s">
        <v>576</v>
      </c>
      <c r="P120" s="1414"/>
      <c r="Q120" s="101">
        <f>Q118+Q119</f>
        <v>8.58</v>
      </c>
      <c r="R120" s="1415" t="str">
        <f>"litres or "&amp;FIXED(200*Q120/SUM(Q118:Q120),0)&amp;"% total"</f>
        <v>litres or 100% total</v>
      </c>
      <c r="S120" s="1416"/>
      <c r="T120" s="865"/>
      <c r="U120" s="850"/>
      <c r="V120" s="136">
        <f t="shared" si="60"/>
        <v>4.75</v>
      </c>
      <c r="W120" s="94">
        <f t="shared" si="59"/>
        <v>14.9625</v>
      </c>
      <c r="X120" s="865"/>
      <c r="Y120" s="22"/>
      <c r="Z120" s="65" t="s">
        <v>352</v>
      </c>
      <c r="AA120" s="65" t="s">
        <v>419</v>
      </c>
      <c r="AB120" s="65" t="s">
        <v>376</v>
      </c>
      <c r="AC120" s="507">
        <v>0.72</v>
      </c>
      <c r="AD120" s="42">
        <v>0.2</v>
      </c>
      <c r="AE120" s="833">
        <f t="shared" si="63"/>
        <v>15.453000000000001</v>
      </c>
      <c r="AF120" s="42">
        <v>0.2</v>
      </c>
      <c r="AG120" s="42">
        <v>380</v>
      </c>
      <c r="AH120" s="507">
        <v>130</v>
      </c>
      <c r="AI120" s="509">
        <v>0.03</v>
      </c>
      <c r="AJ120" s="509">
        <v>0.26</v>
      </c>
      <c r="AK120" s="509">
        <v>4.8000000000000001E-2</v>
      </c>
      <c r="AL120" s="509">
        <v>7.0000000000000007E-2</v>
      </c>
      <c r="AM120" s="646" t="s">
        <v>414</v>
      </c>
      <c r="AN120" s="606">
        <f t="shared" si="64"/>
        <v>0</v>
      </c>
      <c r="AO120" s="19">
        <f t="shared" si="65"/>
        <v>153</v>
      </c>
      <c r="AP120" s="95">
        <f t="shared" si="66"/>
        <v>7.2</v>
      </c>
      <c r="AQ120" s="99">
        <f t="shared" si="67"/>
        <v>2</v>
      </c>
      <c r="AR120" s="100">
        <f t="shared" si="68"/>
        <v>1.5300000000000045</v>
      </c>
      <c r="AS120" s="100">
        <f t="shared" si="69"/>
        <v>0.16666666666666666</v>
      </c>
      <c r="AT120" s="96">
        <f t="shared" si="70"/>
        <v>3800</v>
      </c>
      <c r="AU120" s="96">
        <f t="shared" si="71"/>
        <v>1300</v>
      </c>
      <c r="AV120" s="96">
        <f t="shared" si="72"/>
        <v>0.3</v>
      </c>
      <c r="AW120" s="96">
        <f t="shared" si="73"/>
        <v>2.6</v>
      </c>
      <c r="AX120" s="96">
        <f t="shared" si="74"/>
        <v>0.48</v>
      </c>
      <c r="AY120" s="96">
        <f t="shared" si="75"/>
        <v>0.7</v>
      </c>
      <c r="AZ120" s="38"/>
      <c r="BA120" s="828"/>
    </row>
    <row r="121" spans="1:53">
      <c r="A121" s="1404"/>
      <c r="B121" s="206">
        <v>3</v>
      </c>
      <c r="C121" s="467">
        <v>0</v>
      </c>
      <c r="D121" s="915" t="str">
        <f t="shared" si="61"/>
        <v>GRAPEFRUIT</v>
      </c>
      <c r="E121" s="916" t="str">
        <f t="shared" si="62"/>
        <v>-</v>
      </c>
      <c r="F121" s="206"/>
      <c r="G121" s="206">
        <v>9</v>
      </c>
      <c r="H121" s="1406"/>
      <c r="I121" s="1407"/>
      <c r="J121" s="1023" t="s">
        <v>577</v>
      </c>
      <c r="K121" s="41">
        <v>35</v>
      </c>
      <c r="L121" s="264">
        <v>3</v>
      </c>
      <c r="M121" s="860"/>
      <c r="N121" s="843"/>
      <c r="O121" s="843"/>
      <c r="P121" s="843"/>
      <c r="Q121" s="843"/>
      <c r="R121" s="843"/>
      <c r="S121" s="843"/>
      <c r="T121" s="142"/>
      <c r="U121" s="850"/>
      <c r="V121" s="137">
        <f t="shared" si="60"/>
        <v>5</v>
      </c>
      <c r="W121" s="59">
        <f t="shared" si="59"/>
        <v>15.75</v>
      </c>
      <c r="X121" s="865"/>
      <c r="Y121" s="22"/>
      <c r="Z121" s="65" t="s">
        <v>438</v>
      </c>
      <c r="AA121" s="65" t="s">
        <v>376</v>
      </c>
      <c r="AB121" s="65" t="s">
        <v>376</v>
      </c>
      <c r="AC121" s="507">
        <v>1.5</v>
      </c>
      <c r="AD121" s="42">
        <v>0.01</v>
      </c>
      <c r="AE121" s="833">
        <f t="shared" si="63"/>
        <v>9.09</v>
      </c>
      <c r="AF121" s="42">
        <v>0.2</v>
      </c>
      <c r="AG121" s="42">
        <v>0</v>
      </c>
      <c r="AH121" s="507">
        <v>150</v>
      </c>
      <c r="AI121" s="509">
        <v>4.2000000000000003E-2</v>
      </c>
      <c r="AJ121" s="509">
        <v>0.23100000000000001</v>
      </c>
      <c r="AK121" s="509">
        <v>0.13</v>
      </c>
      <c r="AL121" s="509">
        <v>0.02</v>
      </c>
      <c r="AM121" s="646" t="s">
        <v>377</v>
      </c>
      <c r="AN121" s="606">
        <f t="shared" si="64"/>
        <v>0</v>
      </c>
      <c r="AO121" s="19">
        <f>($F121*G121/100)</f>
        <v>0</v>
      </c>
      <c r="AP121" s="95">
        <f>($F121*AC121/100)</f>
        <v>0</v>
      </c>
      <c r="AQ121" s="99">
        <f>($F121*AD121/100)</f>
        <v>0</v>
      </c>
      <c r="AR121" s="100">
        <f t="shared" si="68"/>
        <v>0</v>
      </c>
      <c r="AS121" s="100">
        <f t="shared" si="69"/>
        <v>0</v>
      </c>
      <c r="AT121" s="96">
        <f t="shared" ref="AT121:AY121" si="77">$F121*AG121/100</f>
        <v>0</v>
      </c>
      <c r="AU121" s="96">
        <f t="shared" si="77"/>
        <v>0</v>
      </c>
      <c r="AV121" s="96">
        <f t="shared" si="77"/>
        <v>0</v>
      </c>
      <c r="AW121" s="96">
        <f t="shared" si="77"/>
        <v>0</v>
      </c>
      <c r="AX121" s="96">
        <f t="shared" si="77"/>
        <v>0</v>
      </c>
      <c r="AY121" s="96">
        <f t="shared" si="77"/>
        <v>0</v>
      </c>
      <c r="AZ121" s="38"/>
      <c r="BA121" s="828"/>
    </row>
    <row r="122" spans="1:53">
      <c r="A122" s="1404"/>
      <c r="B122" s="206">
        <v>3</v>
      </c>
      <c r="C122" s="467">
        <v>0</v>
      </c>
      <c r="D122" s="915" t="str">
        <f t="shared" si="61"/>
        <v>"FIVE ALIVE"</v>
      </c>
      <c r="E122" s="916" t="str">
        <f t="shared" si="62"/>
        <v>-</v>
      </c>
      <c r="F122" s="206"/>
      <c r="G122" s="206">
        <v>10</v>
      </c>
      <c r="H122" s="1406"/>
      <c r="I122" s="1407"/>
      <c r="J122" s="1023" t="s">
        <v>578</v>
      </c>
      <c r="K122" s="41">
        <v>44</v>
      </c>
      <c r="L122" s="264">
        <v>4.4000000000000004</v>
      </c>
      <c r="M122" s="860"/>
      <c r="N122" s="843"/>
      <c r="O122" s="843"/>
      <c r="P122" s="843"/>
      <c r="Q122" s="843"/>
      <c r="R122" s="843"/>
      <c r="S122" s="843"/>
      <c r="T122" s="843"/>
      <c r="U122" s="850"/>
      <c r="V122" s="136">
        <f t="shared" si="60"/>
        <v>5.25</v>
      </c>
      <c r="W122" s="94">
        <f t="shared" si="59"/>
        <v>16.537499999999998</v>
      </c>
      <c r="X122" s="865"/>
      <c r="Y122" s="22"/>
      <c r="Z122" s="65" t="s">
        <v>579</v>
      </c>
      <c r="AA122" s="65" t="s">
        <v>376</v>
      </c>
      <c r="AB122" s="65" t="s">
        <v>376</v>
      </c>
      <c r="AC122" s="507">
        <v>0.48</v>
      </c>
      <c r="AD122" s="42">
        <v>0.01</v>
      </c>
      <c r="AE122" s="834">
        <f t="shared" si="63"/>
        <v>10.1</v>
      </c>
      <c r="AF122" s="42">
        <v>0.2</v>
      </c>
      <c r="AG122" s="42">
        <v>50</v>
      </c>
      <c r="AH122" s="42">
        <v>150</v>
      </c>
      <c r="AI122" s="509">
        <v>0.04</v>
      </c>
      <c r="AJ122" s="509">
        <v>0.4</v>
      </c>
      <c r="AK122" s="509">
        <v>0.13</v>
      </c>
      <c r="AL122" s="509">
        <v>0.02</v>
      </c>
      <c r="AM122" s="646"/>
      <c r="AN122" s="606">
        <f t="shared" si="64"/>
        <v>0</v>
      </c>
      <c r="AO122" s="19">
        <f t="shared" si="65"/>
        <v>0</v>
      </c>
      <c r="AP122" s="95">
        <f t="shared" si="66"/>
        <v>0</v>
      </c>
      <c r="AQ122" s="99">
        <f t="shared" si="67"/>
        <v>0</v>
      </c>
      <c r="AR122" s="100">
        <f t="shared" si="68"/>
        <v>0</v>
      </c>
      <c r="AS122" s="100">
        <f t="shared" si="69"/>
        <v>0</v>
      </c>
      <c r="AT122" s="96">
        <f t="shared" si="70"/>
        <v>0</v>
      </c>
      <c r="AU122" s="96">
        <f t="shared" si="71"/>
        <v>0</v>
      </c>
      <c r="AV122" s="96">
        <f t="shared" si="72"/>
        <v>0</v>
      </c>
      <c r="AW122" s="96">
        <f t="shared" si="73"/>
        <v>0</v>
      </c>
      <c r="AX122" s="96">
        <f t="shared" si="74"/>
        <v>0</v>
      </c>
      <c r="AY122" s="96">
        <f t="shared" si="75"/>
        <v>0</v>
      </c>
      <c r="AZ122" s="38"/>
      <c r="BA122" s="828"/>
    </row>
    <row r="123" spans="1:53">
      <c r="A123" s="1404"/>
      <c r="B123" s="206">
        <v>3</v>
      </c>
      <c r="C123" s="467">
        <v>0</v>
      </c>
      <c r="D123" s="915" t="str">
        <f t="shared" si="61"/>
        <v>ORANGE</v>
      </c>
      <c r="E123" s="916" t="str">
        <f t="shared" si="62"/>
        <v>-</v>
      </c>
      <c r="F123" s="206"/>
      <c r="G123" s="206">
        <v>8.4</v>
      </c>
      <c r="H123" s="1406"/>
      <c r="I123" s="1407"/>
      <c r="J123" s="1023" t="s">
        <v>580</v>
      </c>
      <c r="K123" s="41">
        <v>80</v>
      </c>
      <c r="L123" s="264">
        <v>16</v>
      </c>
      <c r="M123" s="860"/>
      <c r="N123" s="843"/>
      <c r="O123" s="843"/>
      <c r="P123" s="843"/>
      <c r="Q123" s="843"/>
      <c r="R123" s="843"/>
      <c r="S123" s="843"/>
      <c r="T123" s="843"/>
      <c r="U123" s="850"/>
      <c r="V123" s="136">
        <f t="shared" si="60"/>
        <v>5.5</v>
      </c>
      <c r="W123" s="94">
        <f t="shared" si="59"/>
        <v>17.324999999999999</v>
      </c>
      <c r="X123" s="865"/>
      <c r="Y123" s="22"/>
      <c r="Z123" s="65" t="s">
        <v>467</v>
      </c>
      <c r="AA123" s="65" t="s">
        <v>376</v>
      </c>
      <c r="AB123" s="65" t="s">
        <v>376</v>
      </c>
      <c r="AC123" s="507">
        <v>0.98</v>
      </c>
      <c r="AD123" s="42">
        <v>0.01</v>
      </c>
      <c r="AE123" s="833">
        <f t="shared" si="63"/>
        <v>8.484</v>
      </c>
      <c r="AF123" s="42">
        <v>0.2</v>
      </c>
      <c r="AG123" s="42">
        <v>290</v>
      </c>
      <c r="AH123" s="507">
        <v>180</v>
      </c>
      <c r="AI123" s="509">
        <v>0.04</v>
      </c>
      <c r="AJ123" s="509">
        <v>0.2</v>
      </c>
      <c r="AK123" s="509">
        <v>0.18</v>
      </c>
      <c r="AL123" s="509">
        <v>0.03</v>
      </c>
      <c r="AM123" s="646" t="s">
        <v>377</v>
      </c>
      <c r="AN123" s="606">
        <f t="shared" si="64"/>
        <v>0</v>
      </c>
      <c r="AO123" s="19">
        <f t="shared" si="65"/>
        <v>0</v>
      </c>
      <c r="AP123" s="95">
        <f t="shared" si="66"/>
        <v>0</v>
      </c>
      <c r="AQ123" s="99">
        <f t="shared" si="67"/>
        <v>0</v>
      </c>
      <c r="AR123" s="100">
        <f t="shared" si="68"/>
        <v>0</v>
      </c>
      <c r="AS123" s="100">
        <f t="shared" si="69"/>
        <v>0</v>
      </c>
      <c r="AT123" s="96">
        <f t="shared" si="70"/>
        <v>0</v>
      </c>
      <c r="AU123" s="96">
        <f t="shared" si="71"/>
        <v>0</v>
      </c>
      <c r="AV123" s="96">
        <f t="shared" si="72"/>
        <v>0</v>
      </c>
      <c r="AW123" s="96">
        <f t="shared" si="73"/>
        <v>0</v>
      </c>
      <c r="AX123" s="96">
        <f t="shared" si="74"/>
        <v>0</v>
      </c>
      <c r="AY123" s="96">
        <f t="shared" si="75"/>
        <v>0</v>
      </c>
      <c r="AZ123" s="38"/>
      <c r="BA123" s="828"/>
    </row>
    <row r="124" spans="1:53">
      <c r="A124" s="1404"/>
      <c r="B124" s="206">
        <v>3</v>
      </c>
      <c r="C124" s="467">
        <v>0</v>
      </c>
      <c r="D124" s="915" t="str">
        <f t="shared" si="61"/>
        <v>RIBENA</v>
      </c>
      <c r="E124" s="916" t="str">
        <f t="shared" si="62"/>
        <v>-</v>
      </c>
      <c r="F124" s="206"/>
      <c r="G124" s="206">
        <v>11.5</v>
      </c>
      <c r="H124" s="1406"/>
      <c r="I124" s="1407"/>
      <c r="J124" s="1027" t="s">
        <v>581</v>
      </c>
      <c r="K124" s="353"/>
      <c r="L124" s="264"/>
      <c r="M124" s="860"/>
      <c r="N124" s="843"/>
      <c r="O124" s="1501" t="s">
        <v>582</v>
      </c>
      <c r="P124" s="1501"/>
      <c r="Q124" s="1501"/>
      <c r="R124" s="1501"/>
      <c r="S124" s="626"/>
      <c r="T124" s="865"/>
      <c r="U124" s="850"/>
      <c r="V124" s="136">
        <f t="shared" si="60"/>
        <v>5.75</v>
      </c>
      <c r="W124" s="94">
        <f t="shared" si="59"/>
        <v>18.112500000000001</v>
      </c>
      <c r="X124" s="865"/>
      <c r="Y124" s="22"/>
      <c r="Z124" s="65" t="s">
        <v>583</v>
      </c>
      <c r="AA124" s="65" t="s">
        <v>376</v>
      </c>
      <c r="AB124" s="65" t="s">
        <v>376</v>
      </c>
      <c r="AC124" s="42">
        <v>0.7</v>
      </c>
      <c r="AD124" s="42">
        <v>0.1</v>
      </c>
      <c r="AE124" s="834">
        <f t="shared" si="63"/>
        <v>11.615</v>
      </c>
      <c r="AF124" s="42">
        <v>0.2</v>
      </c>
      <c r="AG124" s="42">
        <v>50</v>
      </c>
      <c r="AH124" s="507">
        <v>135</v>
      </c>
      <c r="AI124" s="478">
        <v>0.04</v>
      </c>
      <c r="AJ124" s="478">
        <v>0.2</v>
      </c>
      <c r="AK124" s="478">
        <v>0.13</v>
      </c>
      <c r="AL124" s="478">
        <v>0.02</v>
      </c>
      <c r="AM124" s="646" t="s">
        <v>377</v>
      </c>
      <c r="AN124" s="606">
        <f t="shared" si="64"/>
        <v>0</v>
      </c>
      <c r="AO124" s="19">
        <f t="shared" si="65"/>
        <v>0</v>
      </c>
      <c r="AP124" s="95">
        <f t="shared" si="66"/>
        <v>0</v>
      </c>
      <c r="AQ124" s="99">
        <f t="shared" si="67"/>
        <v>0</v>
      </c>
      <c r="AR124" s="100">
        <f t="shared" si="68"/>
        <v>0</v>
      </c>
      <c r="AS124" s="100">
        <f t="shared" si="69"/>
        <v>0</v>
      </c>
      <c r="AT124" s="96">
        <f t="shared" si="70"/>
        <v>0</v>
      </c>
      <c r="AU124" s="96">
        <f t="shared" si="71"/>
        <v>0</v>
      </c>
      <c r="AV124" s="96">
        <f t="shared" si="72"/>
        <v>0</v>
      </c>
      <c r="AW124" s="96">
        <f t="shared" si="73"/>
        <v>0</v>
      </c>
      <c r="AX124" s="96">
        <f t="shared" si="74"/>
        <v>0</v>
      </c>
      <c r="AY124" s="96">
        <f t="shared" si="75"/>
        <v>0</v>
      </c>
      <c r="AZ124" s="38"/>
      <c r="BA124" s="828"/>
    </row>
    <row r="125" spans="1:53">
      <c r="A125" s="1404"/>
      <c r="B125" s="206">
        <v>3</v>
      </c>
      <c r="C125" s="467">
        <v>0</v>
      </c>
      <c r="D125" s="915" t="str">
        <f t="shared" si="61"/>
        <v>RIBENA</v>
      </c>
      <c r="E125" s="916" t="str">
        <f t="shared" si="62"/>
        <v>CONC.</v>
      </c>
      <c r="F125" s="206"/>
      <c r="G125" s="206">
        <f>5*11.5</f>
        <v>57.5</v>
      </c>
      <c r="H125" s="1406"/>
      <c r="I125" s="1407"/>
      <c r="J125" s="1027" t="s">
        <v>207</v>
      </c>
      <c r="K125" s="353"/>
      <c r="L125" s="264"/>
      <c r="M125" s="860"/>
      <c r="N125" s="843"/>
      <c r="O125" s="1417" t="s">
        <v>584</v>
      </c>
      <c r="P125" s="1418"/>
      <c r="Q125" s="263">
        <v>1090</v>
      </c>
      <c r="R125" s="1419" t="s">
        <v>585</v>
      </c>
      <c r="S125" s="1420"/>
      <c r="T125" s="1420"/>
      <c r="U125" s="850"/>
      <c r="V125" s="136">
        <f t="shared" si="60"/>
        <v>6</v>
      </c>
      <c r="W125" s="94">
        <f t="shared" si="59"/>
        <v>18.899999999999999</v>
      </c>
      <c r="X125" s="865"/>
      <c r="Y125" s="22"/>
      <c r="Z125" s="65" t="s">
        <v>583</v>
      </c>
      <c r="AA125" s="65" t="s">
        <v>586</v>
      </c>
      <c r="AB125" s="65" t="s">
        <v>376</v>
      </c>
      <c r="AC125" s="42">
        <v>3.5</v>
      </c>
      <c r="AD125" s="42">
        <v>0.5</v>
      </c>
      <c r="AE125" s="834">
        <f t="shared" si="63"/>
        <v>58.075000000000003</v>
      </c>
      <c r="AF125" s="42">
        <v>1</v>
      </c>
      <c r="AG125" s="42">
        <v>200</v>
      </c>
      <c r="AH125" s="42">
        <v>520</v>
      </c>
      <c r="AI125" s="478">
        <f>5*AI124</f>
        <v>0.2</v>
      </c>
      <c r="AJ125" s="478">
        <f>5*AJ124</f>
        <v>1</v>
      </c>
      <c r="AK125" s="478">
        <f>5*AK124</f>
        <v>0.65</v>
      </c>
      <c r="AL125" s="478">
        <f>5*AL124</f>
        <v>0.1</v>
      </c>
      <c r="AM125" s="646" t="s">
        <v>377</v>
      </c>
      <c r="AN125" s="606">
        <f t="shared" si="64"/>
        <v>0</v>
      </c>
      <c r="AO125" s="19">
        <f t="shared" si="65"/>
        <v>0</v>
      </c>
      <c r="AP125" s="95">
        <f t="shared" si="66"/>
        <v>0</v>
      </c>
      <c r="AQ125" s="99">
        <f t="shared" si="67"/>
        <v>0</v>
      </c>
      <c r="AR125" s="100">
        <f t="shared" si="68"/>
        <v>0</v>
      </c>
      <c r="AS125" s="100">
        <f t="shared" si="69"/>
        <v>0</v>
      </c>
      <c r="AT125" s="96">
        <f t="shared" si="70"/>
        <v>0</v>
      </c>
      <c r="AU125" s="96">
        <f t="shared" si="71"/>
        <v>0</v>
      </c>
      <c r="AV125" s="96">
        <f t="shared" si="72"/>
        <v>0</v>
      </c>
      <c r="AW125" s="96">
        <f t="shared" si="73"/>
        <v>0</v>
      </c>
      <c r="AX125" s="96">
        <f t="shared" si="74"/>
        <v>0</v>
      </c>
      <c r="AY125" s="96">
        <f t="shared" si="75"/>
        <v>0</v>
      </c>
      <c r="AZ125" s="38"/>
      <c r="BA125" s="828"/>
    </row>
    <row r="126" spans="1:53">
      <c r="A126" s="1404"/>
      <c r="B126" s="206">
        <v>3</v>
      </c>
      <c r="C126" s="831">
        <v>0</v>
      </c>
      <c r="D126" s="915" t="str">
        <f t="shared" si="61"/>
        <v>LOWICZ SYRUP (Rasp. / Cherry )</v>
      </c>
      <c r="E126" s="916" t="str">
        <f t="shared" si="62"/>
        <v>CONC.</v>
      </c>
      <c r="F126" s="206"/>
      <c r="G126" s="206">
        <v>78</v>
      </c>
      <c r="H126" s="1406"/>
      <c r="I126" s="1407"/>
      <c r="J126" s="1027" t="s">
        <v>210</v>
      </c>
      <c r="K126" s="353"/>
      <c r="L126" s="264"/>
      <c r="M126" s="860"/>
      <c r="N126" s="843"/>
      <c r="O126" s="1408" t="s">
        <v>587</v>
      </c>
      <c r="P126" s="1409"/>
      <c r="Q126" s="139">
        <v>1000</v>
      </c>
      <c r="R126" s="1419"/>
      <c r="S126" s="1420"/>
      <c r="T126" s="1420"/>
      <c r="U126" s="850"/>
      <c r="V126" s="136">
        <f t="shared" si="60"/>
        <v>6.25</v>
      </c>
      <c r="W126" s="94">
        <f t="shared" si="59"/>
        <v>19.6875</v>
      </c>
      <c r="X126" s="865"/>
      <c r="Y126" s="628"/>
      <c r="Z126" s="952" t="s">
        <v>966</v>
      </c>
      <c r="AA126" s="65" t="s">
        <v>586</v>
      </c>
      <c r="AB126" s="65" t="s">
        <v>376</v>
      </c>
      <c r="AC126" s="832">
        <f>6.78*AC124</f>
        <v>4.7459999999999996</v>
      </c>
      <c r="AD126" s="832">
        <f t="shared" ref="AD126:AL126" si="78">6.78*AD124</f>
        <v>0.67800000000000005</v>
      </c>
      <c r="AE126" s="832">
        <f t="shared" si="78"/>
        <v>78.749700000000004</v>
      </c>
      <c r="AF126" s="832">
        <f t="shared" si="78"/>
        <v>1.3560000000000001</v>
      </c>
      <c r="AG126" s="42">
        <f t="shared" si="78"/>
        <v>339</v>
      </c>
      <c r="AH126" s="42">
        <f t="shared" si="78"/>
        <v>915.30000000000007</v>
      </c>
      <c r="AI126" s="42">
        <f t="shared" si="78"/>
        <v>0.2712</v>
      </c>
      <c r="AJ126" s="42">
        <f t="shared" si="78"/>
        <v>1.3560000000000001</v>
      </c>
      <c r="AK126" s="42">
        <f t="shared" si="78"/>
        <v>0.88140000000000007</v>
      </c>
      <c r="AL126" s="42">
        <f t="shared" si="78"/>
        <v>0.1356</v>
      </c>
      <c r="AM126" s="646"/>
      <c r="AN126" s="606">
        <f t="shared" si="64"/>
        <v>0</v>
      </c>
      <c r="AO126" s="19">
        <f t="shared" si="65"/>
        <v>0</v>
      </c>
      <c r="AP126" s="95">
        <f t="shared" si="66"/>
        <v>0</v>
      </c>
      <c r="AQ126" s="99">
        <f t="shared" si="67"/>
        <v>0</v>
      </c>
      <c r="AR126" s="100">
        <f t="shared" si="68"/>
        <v>0</v>
      </c>
      <c r="AS126" s="100">
        <f t="shared" si="69"/>
        <v>0</v>
      </c>
      <c r="AT126" s="96">
        <f t="shared" si="70"/>
        <v>0</v>
      </c>
      <c r="AU126" s="96">
        <f t="shared" si="71"/>
        <v>0</v>
      </c>
      <c r="AV126" s="96">
        <f t="shared" si="72"/>
        <v>0</v>
      </c>
      <c r="AW126" s="96">
        <f t="shared" si="73"/>
        <v>0</v>
      </c>
      <c r="AX126" s="96">
        <f t="shared" si="74"/>
        <v>0</v>
      </c>
      <c r="AY126" s="96">
        <f t="shared" si="75"/>
        <v>0</v>
      </c>
      <c r="AZ126" s="23"/>
      <c r="BA126" s="828"/>
    </row>
    <row r="127" spans="1:53">
      <c r="A127" s="1404"/>
      <c r="B127" s="206">
        <v>3</v>
      </c>
      <c r="C127" s="831">
        <v>0.04</v>
      </c>
      <c r="D127" s="915" t="str">
        <f t="shared" si="61"/>
        <v>PINEAPPLE</v>
      </c>
      <c r="E127" s="916" t="str">
        <f t="shared" si="62"/>
        <v>-</v>
      </c>
      <c r="F127" s="206"/>
      <c r="G127" s="206">
        <v>9.5</v>
      </c>
      <c r="H127" s="1406"/>
      <c r="I127" s="1407"/>
      <c r="J127" s="1028" t="s">
        <v>588</v>
      </c>
      <c r="K127" s="429"/>
      <c r="L127" s="265"/>
      <c r="M127" s="860"/>
      <c r="N127" s="843"/>
      <c r="O127" s="1412" t="s">
        <v>589</v>
      </c>
      <c r="P127" s="1413"/>
      <c r="Q127" s="138">
        <f>(Q125-Q126)/(7.75-(3*(Q125-1000)/800))</f>
        <v>12.141652613827993</v>
      </c>
      <c r="R127" s="1419"/>
      <c r="S127" s="1420"/>
      <c r="T127" s="1420"/>
      <c r="U127" s="850"/>
      <c r="V127" s="136">
        <f t="shared" si="60"/>
        <v>6.5</v>
      </c>
      <c r="W127" s="94">
        <f t="shared" si="59"/>
        <v>20.474999999999998</v>
      </c>
      <c r="X127" s="865"/>
      <c r="Y127" s="22"/>
      <c r="Z127" s="65" t="s">
        <v>491</v>
      </c>
      <c r="AA127" s="65" t="s">
        <v>376</v>
      </c>
      <c r="AB127" s="65" t="s">
        <v>376</v>
      </c>
      <c r="AC127" s="507">
        <v>0.8</v>
      </c>
      <c r="AD127" s="42">
        <v>0.01</v>
      </c>
      <c r="AE127" s="834">
        <f t="shared" si="63"/>
        <v>9.5950000000000006</v>
      </c>
      <c r="AF127" s="42">
        <v>0.2</v>
      </c>
      <c r="AG127" s="42">
        <v>50</v>
      </c>
      <c r="AH127" s="42">
        <v>130</v>
      </c>
      <c r="AI127" s="509">
        <v>0.06</v>
      </c>
      <c r="AJ127" s="509">
        <v>0.2</v>
      </c>
      <c r="AK127" s="509">
        <v>5.6000000000000001E-2</v>
      </c>
      <c r="AL127" s="509">
        <v>0.1</v>
      </c>
      <c r="AM127" s="646" t="s">
        <v>377</v>
      </c>
      <c r="AN127" s="606">
        <f t="shared" si="64"/>
        <v>0</v>
      </c>
      <c r="AO127" s="19">
        <f t="shared" si="65"/>
        <v>0</v>
      </c>
      <c r="AP127" s="95">
        <f t="shared" si="66"/>
        <v>0</v>
      </c>
      <c r="AQ127" s="99">
        <f t="shared" si="67"/>
        <v>0</v>
      </c>
      <c r="AR127" s="100">
        <f t="shared" si="68"/>
        <v>0</v>
      </c>
      <c r="AS127" s="100">
        <f t="shared" si="69"/>
        <v>0</v>
      </c>
      <c r="AT127" s="96">
        <f t="shared" si="70"/>
        <v>0</v>
      </c>
      <c r="AU127" s="96">
        <f t="shared" si="71"/>
        <v>0</v>
      </c>
      <c r="AV127" s="96">
        <f t="shared" si="72"/>
        <v>0</v>
      </c>
      <c r="AW127" s="96">
        <f t="shared" si="73"/>
        <v>0</v>
      </c>
      <c r="AX127" s="96">
        <f t="shared" si="74"/>
        <v>0</v>
      </c>
      <c r="AY127" s="96">
        <f t="shared" si="75"/>
        <v>0</v>
      </c>
      <c r="AZ127" s="23"/>
      <c r="BA127" s="828"/>
    </row>
    <row r="128" spans="1:53">
      <c r="A128" s="1404"/>
      <c r="B128" s="206">
        <v>3</v>
      </c>
      <c r="C128" s="467">
        <v>0</v>
      </c>
      <c r="D128" s="915" t="str">
        <f t="shared" si="61"/>
        <v>PRUNE</v>
      </c>
      <c r="E128" s="916" t="str">
        <f>AA128</f>
        <v>-</v>
      </c>
      <c r="F128" s="206"/>
      <c r="G128" s="206">
        <v>13</v>
      </c>
      <c r="H128" s="1406"/>
      <c r="I128" s="1407"/>
      <c r="J128" s="266"/>
      <c r="K128" s="266"/>
      <c r="L128" s="625"/>
      <c r="M128" s="625"/>
      <c r="N128" s="625"/>
      <c r="O128" s="625"/>
      <c r="P128" s="625"/>
      <c r="Q128" s="625"/>
      <c r="R128" s="625"/>
      <c r="S128" s="625"/>
      <c r="T128" s="625"/>
      <c r="U128" s="843"/>
      <c r="V128" s="814">
        <v>20</v>
      </c>
      <c r="W128" s="267">
        <f t="shared" si="59"/>
        <v>63</v>
      </c>
      <c r="X128" s="865"/>
      <c r="Y128" s="22"/>
      <c r="Z128" s="65" t="s">
        <v>590</v>
      </c>
      <c r="AA128" s="65" t="s">
        <v>376</v>
      </c>
      <c r="AB128" s="65" t="s">
        <v>376</v>
      </c>
      <c r="AC128" s="42">
        <v>0.5</v>
      </c>
      <c r="AD128" s="42">
        <v>0.01</v>
      </c>
      <c r="AE128" s="834">
        <f>G128*1.3</f>
        <v>16.900000000000002</v>
      </c>
      <c r="AF128" s="42">
        <v>1.2</v>
      </c>
      <c r="AG128" s="42">
        <v>50</v>
      </c>
      <c r="AH128" s="507">
        <v>276</v>
      </c>
      <c r="AI128" s="509">
        <v>1.6E-2</v>
      </c>
      <c r="AJ128" s="509">
        <v>0.78500000000000003</v>
      </c>
      <c r="AK128" s="509">
        <v>0.107</v>
      </c>
      <c r="AL128" s="509">
        <v>0.218</v>
      </c>
      <c r="AM128" s="646" t="s">
        <v>349</v>
      </c>
      <c r="AN128" s="606">
        <f t="shared" si="64"/>
        <v>0</v>
      </c>
      <c r="AO128" s="19">
        <f t="shared" si="65"/>
        <v>0</v>
      </c>
      <c r="AP128" s="95">
        <f t="shared" si="66"/>
        <v>0</v>
      </c>
      <c r="AQ128" s="99">
        <f t="shared" si="67"/>
        <v>0</v>
      </c>
      <c r="AR128" s="100">
        <f t="shared" si="68"/>
        <v>0</v>
      </c>
      <c r="AS128" s="100">
        <f t="shared" si="69"/>
        <v>0</v>
      </c>
      <c r="AT128" s="96">
        <f t="shared" si="70"/>
        <v>0</v>
      </c>
      <c r="AU128" s="96">
        <f t="shared" si="71"/>
        <v>0</v>
      </c>
      <c r="AV128" s="96">
        <f t="shared" si="72"/>
        <v>0</v>
      </c>
      <c r="AW128" s="96">
        <f t="shared" si="73"/>
        <v>0</v>
      </c>
      <c r="AX128" s="96">
        <f t="shared" si="74"/>
        <v>0</v>
      </c>
      <c r="AY128" s="96">
        <f t="shared" si="75"/>
        <v>0</v>
      </c>
      <c r="AZ128" s="23"/>
      <c r="BA128" s="828"/>
    </row>
    <row r="129" spans="1:53">
      <c r="A129" s="1404"/>
      <c r="B129" s="206">
        <v>3</v>
      </c>
      <c r="C129" s="620">
        <v>0</v>
      </c>
      <c r="D129" s="915" t="str">
        <f>Z129</f>
        <v>OTHER 3</v>
      </c>
      <c r="E129" s="916" t="str">
        <f t="shared" si="62"/>
        <v>-</v>
      </c>
      <c r="F129" s="206"/>
      <c r="G129" s="206"/>
      <c r="H129" s="1406"/>
      <c r="I129" s="1407"/>
      <c r="J129" s="266"/>
      <c r="K129" s="625"/>
      <c r="L129" s="625"/>
      <c r="M129" s="625"/>
      <c r="N129" s="625"/>
      <c r="O129" s="625"/>
      <c r="P129" s="625"/>
      <c r="Q129" s="625"/>
      <c r="R129" s="625"/>
      <c r="S129" s="625"/>
      <c r="T129" s="625"/>
      <c r="U129" s="843"/>
      <c r="V129" s="732" t="s">
        <v>124</v>
      </c>
      <c r="W129" s="732" t="s">
        <v>51</v>
      </c>
      <c r="X129" s="865"/>
      <c r="Y129" s="22"/>
      <c r="Z129" s="65" t="s">
        <v>591</v>
      </c>
      <c r="AA129" s="65" t="s">
        <v>376</v>
      </c>
      <c r="AB129" s="65"/>
      <c r="AC129" s="507">
        <v>0</v>
      </c>
      <c r="AD129" s="507">
        <v>0</v>
      </c>
      <c r="AE129" s="833">
        <f>G129*1.3</f>
        <v>0</v>
      </c>
      <c r="AF129" s="507">
        <v>0</v>
      </c>
      <c r="AG129" s="507">
        <v>0</v>
      </c>
      <c r="AH129" s="507">
        <v>0</v>
      </c>
      <c r="AI129" s="509">
        <v>0</v>
      </c>
      <c r="AJ129" s="509">
        <v>0</v>
      </c>
      <c r="AK129" s="509">
        <v>0</v>
      </c>
      <c r="AL129" s="509">
        <v>0</v>
      </c>
      <c r="AM129" s="646"/>
      <c r="AN129" s="606">
        <f t="shared" si="64"/>
        <v>0</v>
      </c>
      <c r="AO129" s="19">
        <f t="shared" si="65"/>
        <v>0</v>
      </c>
      <c r="AP129" s="95">
        <f t="shared" si="66"/>
        <v>0</v>
      </c>
      <c r="AQ129" s="99">
        <f t="shared" si="67"/>
        <v>0</v>
      </c>
      <c r="AR129" s="100">
        <f t="shared" si="68"/>
        <v>0</v>
      </c>
      <c r="AS129" s="100">
        <f t="shared" si="69"/>
        <v>0</v>
      </c>
      <c r="AT129" s="96">
        <f t="shared" si="70"/>
        <v>0</v>
      </c>
      <c r="AU129" s="96">
        <f t="shared" si="71"/>
        <v>0</v>
      </c>
      <c r="AV129" s="96">
        <f t="shared" si="72"/>
        <v>0</v>
      </c>
      <c r="AW129" s="96">
        <f t="shared" si="73"/>
        <v>0</v>
      </c>
      <c r="AX129" s="96">
        <f t="shared" si="74"/>
        <v>0</v>
      </c>
      <c r="AY129" s="96">
        <f t="shared" si="75"/>
        <v>0</v>
      </c>
      <c r="AZ129" s="23"/>
      <c r="BA129" s="828"/>
    </row>
    <row r="130" spans="1:53">
      <c r="A130" s="1404"/>
      <c r="B130" s="206">
        <v>3</v>
      </c>
      <c r="C130" s="473">
        <v>0</v>
      </c>
      <c r="D130" s="915" t="str">
        <f>Z130</f>
        <v>OTHER 2</v>
      </c>
      <c r="E130" s="916" t="str">
        <f>AA130</f>
        <v>-</v>
      </c>
      <c r="F130" s="206"/>
      <c r="G130" s="206">
        <v>84</v>
      </c>
      <c r="H130" s="1406"/>
      <c r="I130" s="1407"/>
      <c r="J130" s="266"/>
      <c r="K130" s="625"/>
      <c r="L130" s="625"/>
      <c r="M130" s="625"/>
      <c r="N130" s="625"/>
      <c r="O130" s="625"/>
      <c r="P130" s="625"/>
      <c r="Q130" s="625"/>
      <c r="R130" s="625"/>
      <c r="S130" s="625"/>
      <c r="T130" s="625"/>
      <c r="U130" s="843"/>
      <c r="V130" s="843"/>
      <c r="W130" s="843"/>
      <c r="X130" s="625"/>
      <c r="Y130" s="22"/>
      <c r="Z130" s="65" t="s">
        <v>593</v>
      </c>
      <c r="AA130" s="65" t="s">
        <v>376</v>
      </c>
      <c r="AB130" s="65" t="s">
        <v>376</v>
      </c>
      <c r="AC130" s="507">
        <v>0</v>
      </c>
      <c r="AD130" s="507">
        <v>0</v>
      </c>
      <c r="AE130" s="833">
        <f>G130*1.3</f>
        <v>109.2</v>
      </c>
      <c r="AF130" s="507">
        <v>0</v>
      </c>
      <c r="AG130" s="507">
        <v>0</v>
      </c>
      <c r="AH130" s="507">
        <v>0</v>
      </c>
      <c r="AI130" s="509">
        <v>0</v>
      </c>
      <c r="AJ130" s="509">
        <v>0</v>
      </c>
      <c r="AK130" s="509">
        <v>0</v>
      </c>
      <c r="AL130" s="509">
        <v>0</v>
      </c>
      <c r="AM130" s="644"/>
      <c r="AN130" s="606">
        <f t="shared" si="64"/>
        <v>0</v>
      </c>
      <c r="AO130" s="19">
        <f t="shared" si="65"/>
        <v>0</v>
      </c>
      <c r="AP130" s="95">
        <f t="shared" si="66"/>
        <v>0</v>
      </c>
      <c r="AQ130" s="99">
        <f t="shared" si="67"/>
        <v>0</v>
      </c>
      <c r="AR130" s="100">
        <f t="shared" si="68"/>
        <v>0</v>
      </c>
      <c r="AS130" s="100">
        <f t="shared" si="69"/>
        <v>0</v>
      </c>
      <c r="AT130" s="96">
        <f t="shared" si="70"/>
        <v>0</v>
      </c>
      <c r="AU130" s="96">
        <f t="shared" si="71"/>
        <v>0</v>
      </c>
      <c r="AV130" s="96">
        <f t="shared" si="72"/>
        <v>0</v>
      </c>
      <c r="AW130" s="96">
        <f t="shared" si="73"/>
        <v>0</v>
      </c>
      <c r="AX130" s="96">
        <f t="shared" si="74"/>
        <v>0</v>
      </c>
      <c r="AY130" s="96">
        <f t="shared" si="75"/>
        <v>0</v>
      </c>
      <c r="AZ130" s="23"/>
      <c r="BA130" s="828"/>
    </row>
    <row r="131" spans="1:53" ht="13.9" customHeight="1">
      <c r="A131" s="1405"/>
      <c r="B131" s="159">
        <v>3</v>
      </c>
      <c r="C131" s="474">
        <v>0</v>
      </c>
      <c r="D131" s="917" t="str">
        <f>Z131</f>
        <v>OTHER 1</v>
      </c>
      <c r="E131" s="918" t="str">
        <f>AA131</f>
        <v>-</v>
      </c>
      <c r="F131" s="159"/>
      <c r="G131" s="159"/>
      <c r="H131" s="1406"/>
      <c r="I131" s="1407"/>
      <c r="J131" s="1421" t="s">
        <v>592</v>
      </c>
      <c r="K131" s="1421"/>
      <c r="L131" s="221"/>
      <c r="M131" s="221"/>
      <c r="N131" s="221"/>
      <c r="O131" s="221"/>
      <c r="P131" s="221"/>
      <c r="Q131" s="854"/>
      <c r="R131" s="868"/>
      <c r="S131" s="942"/>
      <c r="T131" s="942"/>
      <c r="U131" s="942"/>
      <c r="V131" s="868"/>
      <c r="W131" s="868"/>
      <c r="X131" s="868"/>
      <c r="Y131" s="22"/>
      <c r="Z131" s="65" t="s">
        <v>598</v>
      </c>
      <c r="AA131" s="65" t="s">
        <v>376</v>
      </c>
      <c r="AB131" s="65" t="s">
        <v>376</v>
      </c>
      <c r="AC131" s="507">
        <v>0</v>
      </c>
      <c r="AD131" s="507">
        <v>0</v>
      </c>
      <c r="AE131" s="833">
        <f>G131*1.3</f>
        <v>0</v>
      </c>
      <c r="AF131" s="507">
        <v>0</v>
      </c>
      <c r="AG131" s="507">
        <v>0</v>
      </c>
      <c r="AH131" s="507">
        <v>0</v>
      </c>
      <c r="AI131" s="509">
        <v>0</v>
      </c>
      <c r="AJ131" s="509">
        <v>0</v>
      </c>
      <c r="AK131" s="509">
        <v>0</v>
      </c>
      <c r="AL131" s="509">
        <v>0</v>
      </c>
      <c r="AM131" s="644"/>
      <c r="AN131" s="606">
        <f t="shared" si="64"/>
        <v>0</v>
      </c>
      <c r="AO131" s="19">
        <f t="shared" si="65"/>
        <v>0</v>
      </c>
      <c r="AP131" s="95">
        <f t="shared" si="66"/>
        <v>0</v>
      </c>
      <c r="AQ131" s="99">
        <f t="shared" si="67"/>
        <v>0</v>
      </c>
      <c r="AR131" s="100">
        <f t="shared" si="68"/>
        <v>0</v>
      </c>
      <c r="AS131" s="100">
        <f t="shared" si="69"/>
        <v>0</v>
      </c>
      <c r="AT131" s="96">
        <f t="shared" si="70"/>
        <v>0</v>
      </c>
      <c r="AU131" s="96">
        <f t="shared" si="71"/>
        <v>0</v>
      </c>
      <c r="AV131" s="96">
        <f t="shared" si="72"/>
        <v>0</v>
      </c>
      <c r="AW131" s="96">
        <f t="shared" si="73"/>
        <v>0</v>
      </c>
      <c r="AX131" s="96">
        <f t="shared" si="74"/>
        <v>0</v>
      </c>
      <c r="AY131" s="96">
        <f t="shared" si="75"/>
        <v>0</v>
      </c>
      <c r="AZ131" s="23"/>
      <c r="BA131" s="828"/>
    </row>
    <row r="132" spans="1:53" s="602" customFormat="1" ht="13.9" customHeight="1">
      <c r="A132" s="1496" t="s">
        <v>867</v>
      </c>
      <c r="B132" s="1497"/>
      <c r="C132" s="1021">
        <v>10</v>
      </c>
      <c r="D132" s="1498" t="s">
        <v>869</v>
      </c>
      <c r="E132" s="1499"/>
      <c r="F132" s="1499"/>
      <c r="G132" s="1500"/>
      <c r="H132" s="618"/>
      <c r="I132" s="619"/>
      <c r="J132" s="1489" t="s">
        <v>594</v>
      </c>
      <c r="K132" s="1490"/>
      <c r="L132" s="394" t="s">
        <v>595</v>
      </c>
      <c r="M132" s="1493" t="str">
        <f>"New Vol. (to make "&amp;M134&amp;" litres)"</f>
        <v>New Vol. (to make 13.5 litres)</v>
      </c>
      <c r="N132" s="1494"/>
      <c r="O132" s="1495"/>
      <c r="P132" s="1489" t="s">
        <v>596</v>
      </c>
      <c r="Q132" s="1490"/>
      <c r="R132" s="292" t="s">
        <v>597</v>
      </c>
      <c r="S132" s="1430" t="str">
        <f>"New Wt. (to make "&amp;M134&amp;" litres)"</f>
        <v>New Wt. (to make 13.5 litres)</v>
      </c>
      <c r="T132" s="1431"/>
      <c r="U132" s="1432"/>
      <c r="V132" s="607"/>
      <c r="W132" s="607"/>
      <c r="X132" s="607"/>
      <c r="Y132" s="608"/>
      <c r="Z132" s="609"/>
      <c r="AA132" s="609"/>
      <c r="AB132" s="609"/>
      <c r="AC132" s="610"/>
      <c r="AD132" s="610"/>
      <c r="AE132" s="611"/>
      <c r="AF132" s="610"/>
      <c r="AG132" s="610"/>
      <c r="AH132" s="610"/>
      <c r="AI132" s="612"/>
      <c r="AJ132" s="612"/>
      <c r="AK132" s="612"/>
      <c r="AL132" s="612"/>
      <c r="AM132" s="647"/>
      <c r="AN132" s="606"/>
      <c r="AO132" s="613"/>
      <c r="AP132" s="613"/>
      <c r="AQ132" s="614"/>
      <c r="AR132" s="615"/>
      <c r="AS132" s="615"/>
      <c r="AT132" s="616"/>
      <c r="AU132" s="616"/>
      <c r="AV132" s="616"/>
      <c r="AW132" s="616"/>
      <c r="AX132" s="616"/>
      <c r="AY132" s="616"/>
      <c r="AZ132" s="617"/>
      <c r="BA132" s="828"/>
    </row>
    <row r="133" spans="1:53" ht="13.9" customHeight="1">
      <c r="A133" s="1389"/>
      <c r="B133" s="1469" t="s">
        <v>338</v>
      </c>
      <c r="C133" s="1481" t="s">
        <v>599</v>
      </c>
      <c r="D133" s="1502" t="s">
        <v>600</v>
      </c>
      <c r="E133" s="1502"/>
      <c r="F133" s="622" t="s">
        <v>52</v>
      </c>
      <c r="G133" s="623"/>
      <c r="H133" s="127"/>
      <c r="I133" s="865"/>
      <c r="J133" s="1491"/>
      <c r="K133" s="1492"/>
      <c r="L133" s="287" t="s">
        <v>601</v>
      </c>
      <c r="M133" s="277" t="s">
        <v>484</v>
      </c>
      <c r="N133" s="371" t="s">
        <v>602</v>
      </c>
      <c r="O133" s="274" t="s">
        <v>603</v>
      </c>
      <c r="P133" s="1491"/>
      <c r="Q133" s="1492"/>
      <c r="R133" s="293" t="s">
        <v>51</v>
      </c>
      <c r="S133" s="309" t="s">
        <v>51</v>
      </c>
      <c r="T133" s="374" t="s">
        <v>57</v>
      </c>
      <c r="U133" s="374" t="s">
        <v>604</v>
      </c>
      <c r="V133" s="142"/>
      <c r="W133" s="142"/>
      <c r="X133" s="128"/>
      <c r="Y133" s="22"/>
      <c r="Z133" s="44"/>
      <c r="AA133" s="44"/>
      <c r="AB133" s="68"/>
      <c r="AC133" s="45"/>
      <c r="AD133" s="45"/>
      <c r="AE133" s="45"/>
      <c r="AF133" s="45"/>
      <c r="AG133" s="45"/>
      <c r="AH133" s="45"/>
      <c r="AI133" s="45"/>
      <c r="AJ133" s="45"/>
      <c r="AK133" s="45"/>
      <c r="AL133" s="45"/>
      <c r="AM133" s="67"/>
      <c r="AN133" s="125"/>
      <c r="AO133" s="125"/>
      <c r="AP133" s="125"/>
      <c r="AQ133" s="125"/>
      <c r="AR133" s="125"/>
      <c r="AS133" s="125"/>
      <c r="AT133" s="13"/>
      <c r="AU133" s="13"/>
      <c r="AV133" s="13"/>
      <c r="AW133" s="13"/>
      <c r="AX133" s="13"/>
      <c r="AY133" s="13"/>
      <c r="AZ133" s="13"/>
      <c r="BA133" s="828"/>
    </row>
    <row r="134" spans="1:53" ht="13.9" customHeight="1">
      <c r="A134" s="1391"/>
      <c r="B134" s="1470"/>
      <c r="C134" s="1482"/>
      <c r="D134" s="1485"/>
      <c r="E134" s="1486"/>
      <c r="F134" s="83" t="s">
        <v>51</v>
      </c>
      <c r="G134" s="427"/>
      <c r="H134" s="132"/>
      <c r="I134" s="254"/>
      <c r="J134" s="1412" t="s">
        <v>605</v>
      </c>
      <c r="K134" s="1413"/>
      <c r="L134" s="288">
        <v>4.5</v>
      </c>
      <c r="M134" s="210">
        <v>13.5</v>
      </c>
      <c r="N134" s="372">
        <f t="shared" ref="N134:N139" si="79">O134*(5/6)</f>
        <v>23.775558725630052</v>
      </c>
      <c r="O134" s="275">
        <f t="shared" ref="O134:O139" si="80">8*M134/3.7854</f>
        <v>28.530670470756061</v>
      </c>
      <c r="P134" s="1487" t="s">
        <v>606</v>
      </c>
      <c r="Q134" s="1488"/>
      <c r="R134" s="294">
        <v>1000</v>
      </c>
      <c r="S134" s="260">
        <f t="shared" ref="S134:S142" si="81">R134*M$134/L$134</f>
        <v>3000</v>
      </c>
      <c r="T134" s="375">
        <f t="shared" ref="T134:T142" si="82">S134/28.3495</f>
        <v>105.82197216882132</v>
      </c>
      <c r="U134" s="396" t="str">
        <f t="shared" ref="U134:U142" si="83">INT(T134/16)&amp;" lb  "&amp;FIXED(T134-16*INT(T134/16))&amp;" oz"</f>
        <v>6 lb  9.82 oz</v>
      </c>
      <c r="V134" s="142"/>
      <c r="W134" s="142"/>
      <c r="X134" s="128"/>
      <c r="Y134" s="22"/>
      <c r="Z134" s="1394" t="s">
        <v>607</v>
      </c>
      <c r="AA134" s="1394"/>
      <c r="AB134" s="1394"/>
      <c r="AC134" s="1394"/>
      <c r="AD134" s="1394"/>
      <c r="AE134" s="1394"/>
      <c r="AF134" s="1394"/>
      <c r="AG134" s="1394"/>
      <c r="AH134" s="1394"/>
      <c r="AI134" s="1394"/>
      <c r="AJ134" s="1394"/>
      <c r="AK134" s="1394"/>
      <c r="AL134" s="1394"/>
      <c r="AM134" s="13"/>
      <c r="AN134" s="13" t="s">
        <v>608</v>
      </c>
      <c r="AO134" s="13"/>
      <c r="AP134" s="13"/>
      <c r="AQ134" s="13"/>
      <c r="AR134" s="13"/>
      <c r="AS134" s="13"/>
      <c r="AT134" s="13"/>
      <c r="AU134" s="13"/>
      <c r="AV134" s="13"/>
      <c r="AW134" s="13"/>
      <c r="AX134" s="13"/>
      <c r="AY134" s="13"/>
      <c r="AZ134" s="13"/>
      <c r="BA134" s="828"/>
    </row>
    <row r="135" spans="1:53">
      <c r="A135" s="1389"/>
      <c r="B135" s="205">
        <v>12</v>
      </c>
      <c r="C135" s="156">
        <v>0.14000000000000001</v>
      </c>
      <c r="D135" s="919" t="str">
        <f t="shared" ref="D135:E140" si="84">Z135</f>
        <v>BEETROOT</v>
      </c>
      <c r="E135" s="920" t="str">
        <f t="shared" si="84"/>
        <v>-</v>
      </c>
      <c r="F135" s="205"/>
      <c r="G135" s="427"/>
      <c r="H135" s="132"/>
      <c r="I135" s="254"/>
      <c r="J135" s="1392" t="s">
        <v>609</v>
      </c>
      <c r="K135" s="1393"/>
      <c r="L135" s="289">
        <v>2</v>
      </c>
      <c r="M135" s="258">
        <f>L135*M$134/L$134</f>
        <v>6</v>
      </c>
      <c r="N135" s="373">
        <f t="shared" si="79"/>
        <v>10.566914989168913</v>
      </c>
      <c r="O135" s="276">
        <f t="shared" si="80"/>
        <v>12.680297987002694</v>
      </c>
      <c r="P135" s="1392" t="s">
        <v>610</v>
      </c>
      <c r="Q135" s="1393"/>
      <c r="R135" s="295">
        <v>500</v>
      </c>
      <c r="S135" s="260">
        <f t="shared" si="81"/>
        <v>1500</v>
      </c>
      <c r="T135" s="376">
        <f t="shared" si="82"/>
        <v>52.910986084410659</v>
      </c>
      <c r="U135" s="397" t="str">
        <f t="shared" si="83"/>
        <v>3 lb  4.91 oz</v>
      </c>
      <c r="V135" s="142"/>
      <c r="W135" s="142"/>
      <c r="X135" s="128"/>
      <c r="Y135" s="22"/>
      <c r="Z135" s="65" t="s">
        <v>611</v>
      </c>
      <c r="AA135" s="65" t="s">
        <v>376</v>
      </c>
      <c r="AB135" s="507">
        <v>6.8</v>
      </c>
      <c r="AC135" s="507">
        <v>0.2</v>
      </c>
      <c r="AD135" s="42">
        <v>0.01</v>
      </c>
      <c r="AE135" s="507">
        <v>9.6</v>
      </c>
      <c r="AF135" s="507">
        <v>0.4</v>
      </c>
      <c r="AG135" s="42">
        <v>1300</v>
      </c>
      <c r="AH135" s="507">
        <v>300</v>
      </c>
      <c r="AI135" s="509">
        <v>3.1E-2</v>
      </c>
      <c r="AJ135" s="509">
        <v>0.33400000000000002</v>
      </c>
      <c r="AK135" s="509">
        <v>0.155</v>
      </c>
      <c r="AL135" s="509">
        <v>6.7000000000000004E-2</v>
      </c>
      <c r="AM135" s="507"/>
      <c r="AN135" s="154">
        <f t="shared" ref="AN135:AN142" si="85">1-C135</f>
        <v>0.86</v>
      </c>
      <c r="AO135" s="14">
        <f t="shared" ref="AO135:AO142" si="86">AN135*F135*AB135/100</f>
        <v>0</v>
      </c>
      <c r="AP135" s="14">
        <f t="shared" ref="AP135:AP142" si="87">AN135*F135*AC135/100</f>
        <v>0</v>
      </c>
      <c r="AQ135" s="14">
        <f t="shared" ref="AQ135:AQ142" si="88">AN135*F135*AD135/100</f>
        <v>0</v>
      </c>
      <c r="AR135" s="14">
        <f t="shared" ref="AR135:AR142" si="89">AN135*F135*(AE135-AB135)/100</f>
        <v>0</v>
      </c>
      <c r="AS135" s="95">
        <f t="shared" ref="AS135:AS142" si="90">AN135*F135*AF135/1200</f>
        <v>0</v>
      </c>
      <c r="AT135" s="96">
        <f t="shared" ref="AT135:AT142" si="91">AN135*$F135*AG135/100</f>
        <v>0</v>
      </c>
      <c r="AU135" s="96">
        <f t="shared" ref="AU135:AU142" si="92">AN135*$F135*AH135/100</f>
        <v>0</v>
      </c>
      <c r="AV135" s="96">
        <f t="shared" ref="AV135:AV142" si="93">AN135*$F135*AI135/100</f>
        <v>0</v>
      </c>
      <c r="AW135" s="96">
        <f t="shared" ref="AW135:AW142" si="94">AN135*$F135*AJ135/100</f>
        <v>0</v>
      </c>
      <c r="AX135" s="96">
        <f t="shared" ref="AX135:AX142" si="95">AN135*$F135*AK135/100</f>
        <v>0</v>
      </c>
      <c r="AY135" s="96">
        <f t="shared" ref="AY135:AY142" si="96">AN135*$F135*AL135/100</f>
        <v>0</v>
      </c>
      <c r="AZ135" s="23"/>
      <c r="BA135" s="828"/>
    </row>
    <row r="136" spans="1:53">
      <c r="A136" s="1390"/>
      <c r="B136" s="206">
        <v>12</v>
      </c>
      <c r="C136" s="157">
        <v>0.1</v>
      </c>
      <c r="D136" s="915" t="str">
        <f t="shared" si="84"/>
        <v>CARROT</v>
      </c>
      <c r="E136" s="921" t="str">
        <f t="shared" si="84"/>
        <v>-</v>
      </c>
      <c r="F136" s="206"/>
      <c r="G136" s="427"/>
      <c r="H136" s="132"/>
      <c r="I136" s="621"/>
      <c r="J136" s="1392" t="s">
        <v>612</v>
      </c>
      <c r="K136" s="1393"/>
      <c r="L136" s="290">
        <v>1</v>
      </c>
      <c r="M136" s="258">
        <f>L136*M$134/L$134</f>
        <v>3</v>
      </c>
      <c r="N136" s="373">
        <f t="shared" si="79"/>
        <v>5.2834574945844563</v>
      </c>
      <c r="O136" s="276">
        <f t="shared" si="80"/>
        <v>6.3401489935013471</v>
      </c>
      <c r="P136" s="1392" t="s">
        <v>613</v>
      </c>
      <c r="Q136" s="1393"/>
      <c r="R136" s="296">
        <v>250</v>
      </c>
      <c r="S136" s="260">
        <f t="shared" si="81"/>
        <v>750</v>
      </c>
      <c r="T136" s="376">
        <f t="shared" si="82"/>
        <v>26.45549304220533</v>
      </c>
      <c r="U136" s="397" t="str">
        <f t="shared" si="83"/>
        <v>1 lb  10.46 oz</v>
      </c>
      <c r="V136" s="142"/>
      <c r="W136" s="142"/>
      <c r="X136" s="128"/>
      <c r="Y136" s="22"/>
      <c r="Z136" s="65" t="s">
        <v>614</v>
      </c>
      <c r="AA136" s="65" t="s">
        <v>376</v>
      </c>
      <c r="AB136" s="507">
        <v>4.5</v>
      </c>
      <c r="AC136" s="507">
        <v>0.06</v>
      </c>
      <c r="AD136" s="42">
        <v>0.01</v>
      </c>
      <c r="AE136" s="507">
        <v>9.6</v>
      </c>
      <c r="AF136" s="507">
        <v>1.8</v>
      </c>
      <c r="AG136" s="42">
        <v>1300</v>
      </c>
      <c r="AH136" s="507">
        <v>400</v>
      </c>
      <c r="AI136" s="509">
        <v>7.0000000000000007E-2</v>
      </c>
      <c r="AJ136" s="509">
        <v>0.98</v>
      </c>
      <c r="AK136" s="509">
        <v>0.27300000000000002</v>
      </c>
      <c r="AL136" s="509">
        <v>0.14000000000000001</v>
      </c>
      <c r="AM136" s="507"/>
      <c r="AN136" s="154">
        <f t="shared" si="85"/>
        <v>0.9</v>
      </c>
      <c r="AO136" s="14">
        <f t="shared" si="86"/>
        <v>0</v>
      </c>
      <c r="AP136" s="14">
        <f t="shared" si="87"/>
        <v>0</v>
      </c>
      <c r="AQ136" s="14">
        <f t="shared" si="88"/>
        <v>0</v>
      </c>
      <c r="AR136" s="14">
        <f t="shared" si="89"/>
        <v>0</v>
      </c>
      <c r="AS136" s="95">
        <f t="shared" si="90"/>
        <v>0</v>
      </c>
      <c r="AT136" s="96">
        <f t="shared" si="91"/>
        <v>0</v>
      </c>
      <c r="AU136" s="96">
        <f t="shared" si="92"/>
        <v>0</v>
      </c>
      <c r="AV136" s="96">
        <f t="shared" si="93"/>
        <v>0</v>
      </c>
      <c r="AW136" s="96">
        <f t="shared" si="94"/>
        <v>0</v>
      </c>
      <c r="AX136" s="96">
        <f t="shared" si="95"/>
        <v>0</v>
      </c>
      <c r="AY136" s="96">
        <f t="shared" si="96"/>
        <v>0</v>
      </c>
      <c r="AZ136" s="23"/>
      <c r="BA136" s="828"/>
    </row>
    <row r="137" spans="1:53">
      <c r="A137" s="1390"/>
      <c r="B137" s="206">
        <v>12</v>
      </c>
      <c r="C137" s="157">
        <v>0.08</v>
      </c>
      <c r="D137" s="915" t="str">
        <f t="shared" si="84"/>
        <v>CELERY</v>
      </c>
      <c r="E137" s="921" t="str">
        <f t="shared" si="84"/>
        <v>-</v>
      </c>
      <c r="F137" s="206"/>
      <c r="G137" s="427"/>
      <c r="H137" s="132"/>
      <c r="I137" s="132"/>
      <c r="J137" s="1392" t="s">
        <v>615</v>
      </c>
      <c r="K137" s="1393"/>
      <c r="L137" s="290">
        <v>0.5</v>
      </c>
      <c r="M137" s="258">
        <f>L137*M$134/L$134</f>
        <v>1.5</v>
      </c>
      <c r="N137" s="373">
        <f t="shared" si="79"/>
        <v>2.6417287472922282</v>
      </c>
      <c r="O137" s="276">
        <f t="shared" si="80"/>
        <v>3.1700744967506735</v>
      </c>
      <c r="P137" s="1392" t="s">
        <v>319</v>
      </c>
      <c r="Q137" s="1393"/>
      <c r="R137" s="296">
        <v>550</v>
      </c>
      <c r="S137" s="260">
        <f t="shared" si="81"/>
        <v>1650</v>
      </c>
      <c r="T137" s="376">
        <f t="shared" si="82"/>
        <v>58.202084692851727</v>
      </c>
      <c r="U137" s="397" t="str">
        <f t="shared" si="83"/>
        <v>3 lb  10.20 oz</v>
      </c>
      <c r="V137" s="142"/>
      <c r="W137" s="142"/>
      <c r="X137" s="128"/>
      <c r="Y137" s="22"/>
      <c r="Z137" s="65" t="s">
        <v>616</v>
      </c>
      <c r="AA137" s="65" t="s">
        <v>376</v>
      </c>
      <c r="AB137" s="507">
        <v>1.8</v>
      </c>
      <c r="AC137" s="42">
        <v>0.1</v>
      </c>
      <c r="AD137" s="42">
        <v>0.01</v>
      </c>
      <c r="AE137" s="508">
        <v>3</v>
      </c>
      <c r="AF137" s="42">
        <v>1</v>
      </c>
      <c r="AG137" s="42">
        <v>1000</v>
      </c>
      <c r="AH137" s="507">
        <v>260</v>
      </c>
      <c r="AI137" s="509">
        <v>0.02</v>
      </c>
      <c r="AJ137" s="509">
        <v>0.32</v>
      </c>
      <c r="AK137" s="509">
        <v>0.246</v>
      </c>
      <c r="AL137" s="509">
        <v>7.0000000000000007E-2</v>
      </c>
      <c r="AM137" s="507"/>
      <c r="AN137" s="154">
        <f t="shared" si="85"/>
        <v>0.92</v>
      </c>
      <c r="AO137" s="14">
        <f t="shared" si="86"/>
        <v>0</v>
      </c>
      <c r="AP137" s="14">
        <f t="shared" si="87"/>
        <v>0</v>
      </c>
      <c r="AQ137" s="14">
        <f t="shared" si="88"/>
        <v>0</v>
      </c>
      <c r="AR137" s="14">
        <f t="shared" si="89"/>
        <v>0</v>
      </c>
      <c r="AS137" s="95">
        <f t="shared" si="90"/>
        <v>0</v>
      </c>
      <c r="AT137" s="96">
        <f t="shared" si="91"/>
        <v>0</v>
      </c>
      <c r="AU137" s="96">
        <f t="shared" si="92"/>
        <v>0</v>
      </c>
      <c r="AV137" s="96">
        <f t="shared" si="93"/>
        <v>0</v>
      </c>
      <c r="AW137" s="96">
        <f t="shared" si="94"/>
        <v>0</v>
      </c>
      <c r="AX137" s="96">
        <f t="shared" si="95"/>
        <v>0</v>
      </c>
      <c r="AY137" s="96">
        <f t="shared" si="96"/>
        <v>0</v>
      </c>
      <c r="AZ137" s="23"/>
      <c r="BA137" s="828"/>
    </row>
    <row r="138" spans="1:53">
      <c r="A138" s="1390"/>
      <c r="B138" s="206">
        <v>9</v>
      </c>
      <c r="C138" s="157">
        <v>0.05</v>
      </c>
      <c r="D138" s="915" t="str">
        <f t="shared" si="84"/>
        <v>MARROW</v>
      </c>
      <c r="E138" s="921" t="str">
        <f t="shared" si="84"/>
        <v>-</v>
      </c>
      <c r="F138" s="206"/>
      <c r="G138" s="427"/>
      <c r="H138" s="132"/>
      <c r="I138" s="132"/>
      <c r="J138" s="1392" t="s">
        <v>210</v>
      </c>
      <c r="K138" s="1393"/>
      <c r="L138" s="290">
        <v>0</v>
      </c>
      <c r="M138" s="258">
        <f>L138*M$134/L$134</f>
        <v>0</v>
      </c>
      <c r="N138" s="373">
        <f t="shared" si="79"/>
        <v>0</v>
      </c>
      <c r="O138" s="276">
        <f t="shared" si="80"/>
        <v>0</v>
      </c>
      <c r="P138" s="1392" t="s">
        <v>320</v>
      </c>
      <c r="Q138" s="1393"/>
      <c r="R138" s="296">
        <v>0</v>
      </c>
      <c r="S138" s="261">
        <f t="shared" si="81"/>
        <v>0</v>
      </c>
      <c r="T138" s="376">
        <f t="shared" si="82"/>
        <v>0</v>
      </c>
      <c r="U138" s="397" t="str">
        <f t="shared" si="83"/>
        <v>0 lb  0.00 oz</v>
      </c>
      <c r="V138" s="142"/>
      <c r="W138" s="142"/>
      <c r="X138" s="128"/>
      <c r="Y138" s="22"/>
      <c r="Z138" s="65" t="s">
        <v>617</v>
      </c>
      <c r="AA138" s="65" t="s">
        <v>376</v>
      </c>
      <c r="AB138" s="42">
        <v>1.5</v>
      </c>
      <c r="AC138" s="42">
        <v>0.1</v>
      </c>
      <c r="AD138" s="42">
        <v>0.01</v>
      </c>
      <c r="AE138" s="508">
        <v>3.5</v>
      </c>
      <c r="AF138" s="42">
        <v>1</v>
      </c>
      <c r="AG138" s="42">
        <v>1000</v>
      </c>
      <c r="AH138" s="507">
        <v>212</v>
      </c>
      <c r="AI138" s="509">
        <v>4.8000000000000001E-2</v>
      </c>
      <c r="AJ138" s="509">
        <v>0.48699999999999999</v>
      </c>
      <c r="AK138" s="509">
        <v>0.155</v>
      </c>
      <c r="AL138" s="509">
        <v>0.218</v>
      </c>
      <c r="AM138" s="507"/>
      <c r="AN138" s="154">
        <f t="shared" si="85"/>
        <v>0.95</v>
      </c>
      <c r="AO138" s="14">
        <f t="shared" si="86"/>
        <v>0</v>
      </c>
      <c r="AP138" s="14">
        <f t="shared" si="87"/>
        <v>0</v>
      </c>
      <c r="AQ138" s="14">
        <f t="shared" si="88"/>
        <v>0</v>
      </c>
      <c r="AR138" s="14">
        <f t="shared" si="89"/>
        <v>0</v>
      </c>
      <c r="AS138" s="95">
        <f t="shared" si="90"/>
        <v>0</v>
      </c>
      <c r="AT138" s="96">
        <f t="shared" si="91"/>
        <v>0</v>
      </c>
      <c r="AU138" s="96">
        <f t="shared" si="92"/>
        <v>0</v>
      </c>
      <c r="AV138" s="96">
        <f t="shared" si="93"/>
        <v>0</v>
      </c>
      <c r="AW138" s="96">
        <f t="shared" si="94"/>
        <v>0</v>
      </c>
      <c r="AX138" s="96">
        <f t="shared" si="95"/>
        <v>0</v>
      </c>
      <c r="AY138" s="96">
        <f t="shared" si="96"/>
        <v>0</v>
      </c>
      <c r="AZ138" s="23"/>
      <c r="BA138" s="828"/>
    </row>
    <row r="139" spans="1:53">
      <c r="A139" s="1390"/>
      <c r="B139" s="206">
        <v>12</v>
      </c>
      <c r="C139" s="157">
        <v>0.18</v>
      </c>
      <c r="D139" s="915" t="str">
        <f t="shared" si="84"/>
        <v>PARSNIP</v>
      </c>
      <c r="E139" s="921" t="str">
        <f t="shared" si="84"/>
        <v>-</v>
      </c>
      <c r="F139" s="206"/>
      <c r="G139" s="427"/>
      <c r="H139" s="132"/>
      <c r="I139" s="132"/>
      <c r="J139" s="1433" t="s">
        <v>588</v>
      </c>
      <c r="K139" s="1434"/>
      <c r="L139" s="290">
        <v>0</v>
      </c>
      <c r="M139" s="258">
        <f>L139*M$134/L$134</f>
        <v>0</v>
      </c>
      <c r="N139" s="373">
        <f t="shared" si="79"/>
        <v>0</v>
      </c>
      <c r="O139" s="276">
        <f t="shared" si="80"/>
        <v>0</v>
      </c>
      <c r="P139" s="1392" t="s">
        <v>321</v>
      </c>
      <c r="Q139" s="1393"/>
      <c r="R139" s="295">
        <v>0</v>
      </c>
      <c r="S139" s="261">
        <f t="shared" si="81"/>
        <v>0</v>
      </c>
      <c r="T139" s="376">
        <f t="shared" si="82"/>
        <v>0</v>
      </c>
      <c r="U139" s="397" t="str">
        <f t="shared" si="83"/>
        <v>0 lb  0.00 oz</v>
      </c>
      <c r="V139" s="142"/>
      <c r="W139" s="142"/>
      <c r="X139" s="128"/>
      <c r="Y139" s="22"/>
      <c r="Z139" s="65" t="s">
        <v>618</v>
      </c>
      <c r="AA139" s="65" t="s">
        <v>376</v>
      </c>
      <c r="AB139" s="507">
        <v>12.5</v>
      </c>
      <c r="AC139" s="507">
        <v>0.12</v>
      </c>
      <c r="AD139" s="42">
        <v>0.01</v>
      </c>
      <c r="AE139" s="508">
        <v>18</v>
      </c>
      <c r="AF139" s="507">
        <v>3.2</v>
      </c>
      <c r="AG139" s="42">
        <v>1500</v>
      </c>
      <c r="AH139" s="507">
        <v>400</v>
      </c>
      <c r="AI139" s="509">
        <v>0.09</v>
      </c>
      <c r="AJ139" s="509">
        <v>0.7</v>
      </c>
      <c r="AK139" s="509">
        <v>0.6</v>
      </c>
      <c r="AL139" s="509">
        <v>0.09</v>
      </c>
      <c r="AM139" s="55"/>
      <c r="AN139" s="154">
        <f t="shared" si="85"/>
        <v>0.82000000000000006</v>
      </c>
      <c r="AO139" s="14">
        <f t="shared" si="86"/>
        <v>0</v>
      </c>
      <c r="AP139" s="14">
        <f t="shared" si="87"/>
        <v>0</v>
      </c>
      <c r="AQ139" s="14">
        <f t="shared" si="88"/>
        <v>0</v>
      </c>
      <c r="AR139" s="14">
        <f t="shared" si="89"/>
        <v>0</v>
      </c>
      <c r="AS139" s="95">
        <f t="shared" si="90"/>
        <v>0</v>
      </c>
      <c r="AT139" s="96">
        <f t="shared" si="91"/>
        <v>0</v>
      </c>
      <c r="AU139" s="96">
        <f t="shared" si="92"/>
        <v>0</v>
      </c>
      <c r="AV139" s="96">
        <f t="shared" si="93"/>
        <v>0</v>
      </c>
      <c r="AW139" s="96">
        <f t="shared" si="94"/>
        <v>0</v>
      </c>
      <c r="AX139" s="96">
        <f t="shared" si="95"/>
        <v>0</v>
      </c>
      <c r="AY139" s="96">
        <f t="shared" si="96"/>
        <v>0</v>
      </c>
      <c r="AZ139" s="23"/>
      <c r="BA139" s="828"/>
    </row>
    <row r="140" spans="1:53">
      <c r="A140" s="1390"/>
      <c r="B140" s="206">
        <v>18</v>
      </c>
      <c r="C140" s="157">
        <v>0.2</v>
      </c>
      <c r="D140" s="915" t="str">
        <f t="shared" si="84"/>
        <v>POTATO</v>
      </c>
      <c r="E140" s="921" t="str">
        <f t="shared" si="84"/>
        <v>-</v>
      </c>
      <c r="F140" s="206"/>
      <c r="G140" s="427"/>
      <c r="H140" s="132"/>
      <c r="I140" s="132"/>
      <c r="J140" s="1417" t="s">
        <v>619</v>
      </c>
      <c r="K140" s="1418"/>
      <c r="L140" s="291">
        <v>590</v>
      </c>
      <c r="M140" s="259" t="str">
        <f>1*FIXED((L140*M$134/L$134),0)&amp;"g"</f>
        <v>1770g</v>
      </c>
      <c r="N140" s="1039">
        <f>L141+(0.58*L140)</f>
        <v>738.2</v>
      </c>
      <c r="O140" s="1040" t="str">
        <f>FIXED(8*(M136/L136)*N140/(1000*3.7854))</f>
        <v>4.68</v>
      </c>
      <c r="P140" s="1435" t="s">
        <v>620</v>
      </c>
      <c r="Q140" s="1436"/>
      <c r="R140" s="295">
        <v>0</v>
      </c>
      <c r="S140" s="261">
        <f t="shared" si="81"/>
        <v>0</v>
      </c>
      <c r="T140" s="376">
        <f t="shared" si="82"/>
        <v>0</v>
      </c>
      <c r="U140" s="397" t="str">
        <f t="shared" si="83"/>
        <v>0 lb  0.00 oz</v>
      </c>
      <c r="V140" s="142"/>
      <c r="W140" s="142"/>
      <c r="X140" s="128"/>
      <c r="Y140" s="22"/>
      <c r="Z140" s="65" t="s">
        <v>621</v>
      </c>
      <c r="AA140" s="65" t="s">
        <v>376</v>
      </c>
      <c r="AB140" s="507">
        <v>0.8</v>
      </c>
      <c r="AC140" s="507">
        <v>0.1</v>
      </c>
      <c r="AD140" s="42">
        <v>0.01</v>
      </c>
      <c r="AE140" s="508">
        <v>17.5</v>
      </c>
      <c r="AF140" s="507">
        <v>2</v>
      </c>
      <c r="AG140" s="42">
        <v>300</v>
      </c>
      <c r="AH140" s="507">
        <v>500</v>
      </c>
      <c r="AI140" s="509">
        <v>0.08</v>
      </c>
      <c r="AJ140" s="509">
        <v>1.05</v>
      </c>
      <c r="AK140" s="509">
        <v>0.29599999999999999</v>
      </c>
      <c r="AL140" s="509">
        <v>0.29499999999999998</v>
      </c>
      <c r="AM140" s="55"/>
      <c r="AN140" s="154">
        <f t="shared" si="85"/>
        <v>0.8</v>
      </c>
      <c r="AO140" s="14">
        <f t="shared" si="86"/>
        <v>0</v>
      </c>
      <c r="AP140" s="14">
        <f t="shared" si="87"/>
        <v>0</v>
      </c>
      <c r="AQ140" s="14">
        <f t="shared" si="88"/>
        <v>0</v>
      </c>
      <c r="AR140" s="14">
        <f t="shared" si="89"/>
        <v>0</v>
      </c>
      <c r="AS140" s="95">
        <f t="shared" si="90"/>
        <v>0</v>
      </c>
      <c r="AT140" s="96">
        <f t="shared" si="91"/>
        <v>0</v>
      </c>
      <c r="AU140" s="96">
        <f t="shared" si="92"/>
        <v>0</v>
      </c>
      <c r="AV140" s="96">
        <f t="shared" si="93"/>
        <v>0</v>
      </c>
      <c r="AW140" s="96">
        <f t="shared" si="94"/>
        <v>0</v>
      </c>
      <c r="AX140" s="96">
        <f t="shared" si="95"/>
        <v>0</v>
      </c>
      <c r="AY140" s="96">
        <f t="shared" si="96"/>
        <v>0</v>
      </c>
      <c r="AZ140" s="23"/>
      <c r="BA140" s="828"/>
    </row>
    <row r="141" spans="1:53">
      <c r="A141" s="1390"/>
      <c r="B141" s="206">
        <v>12</v>
      </c>
      <c r="C141" s="157">
        <v>0</v>
      </c>
      <c r="D141" s="915" t="str">
        <f>Z141</f>
        <v>OTHER 2</v>
      </c>
      <c r="E141" s="921" t="str">
        <f>AA140</f>
        <v>-</v>
      </c>
      <c r="F141" s="206"/>
      <c r="G141" s="427"/>
      <c r="H141" s="427"/>
      <c r="I141" s="427"/>
      <c r="J141" s="1437" t="s">
        <v>622</v>
      </c>
      <c r="K141" s="1438"/>
      <c r="L141" s="290">
        <v>396</v>
      </c>
      <c r="M141" s="145" t="str">
        <f>1*FIXED((L141*M$134/L$134),0)&amp;"ml"</f>
        <v>1188ml</v>
      </c>
      <c r="N141" s="1041">
        <f>N140*M$134/L$134</f>
        <v>2214.6000000000004</v>
      </c>
      <c r="O141" s="1042">
        <f>(M136*O136)+1.4</f>
        <v>20.420446980504039</v>
      </c>
      <c r="P141" s="1435" t="s">
        <v>623</v>
      </c>
      <c r="Q141" s="1436"/>
      <c r="R141" s="295">
        <v>5</v>
      </c>
      <c r="S141" s="261">
        <f t="shared" si="81"/>
        <v>15</v>
      </c>
      <c r="T141" s="376">
        <f t="shared" si="82"/>
        <v>0.52910986084410661</v>
      </c>
      <c r="U141" s="397" t="str">
        <f t="shared" si="83"/>
        <v>0 lb  0.53 oz</v>
      </c>
      <c r="V141" s="142"/>
      <c r="W141" s="142"/>
      <c r="X141" s="128"/>
      <c r="Y141" s="22"/>
      <c r="Z141" s="65" t="s">
        <v>593</v>
      </c>
      <c r="AA141" s="65" t="s">
        <v>376</v>
      </c>
      <c r="AB141" s="507">
        <v>0</v>
      </c>
      <c r="AC141" s="507">
        <v>0</v>
      </c>
      <c r="AD141" s="507">
        <v>0</v>
      </c>
      <c r="AE141" s="507">
        <v>0</v>
      </c>
      <c r="AF141" s="507">
        <v>0</v>
      </c>
      <c r="AG141" s="507">
        <v>0</v>
      </c>
      <c r="AH141" s="507">
        <v>0</v>
      </c>
      <c r="AI141" s="509">
        <v>0</v>
      </c>
      <c r="AJ141" s="509">
        <v>0</v>
      </c>
      <c r="AK141" s="509">
        <v>0</v>
      </c>
      <c r="AL141" s="509">
        <v>0</v>
      </c>
      <c r="AM141" s="55"/>
      <c r="AN141" s="154">
        <f t="shared" si="85"/>
        <v>1</v>
      </c>
      <c r="AO141" s="14">
        <f t="shared" si="86"/>
        <v>0</v>
      </c>
      <c r="AP141" s="14">
        <f t="shared" si="87"/>
        <v>0</v>
      </c>
      <c r="AQ141" s="14">
        <f t="shared" si="88"/>
        <v>0</v>
      </c>
      <c r="AR141" s="14">
        <f t="shared" si="89"/>
        <v>0</v>
      </c>
      <c r="AS141" s="95">
        <f t="shared" si="90"/>
        <v>0</v>
      </c>
      <c r="AT141" s="96">
        <f t="shared" si="91"/>
        <v>0</v>
      </c>
      <c r="AU141" s="96">
        <f t="shared" si="92"/>
        <v>0</v>
      </c>
      <c r="AV141" s="96">
        <f t="shared" si="93"/>
        <v>0</v>
      </c>
      <c r="AW141" s="96">
        <f t="shared" si="94"/>
        <v>0</v>
      </c>
      <c r="AX141" s="96">
        <f t="shared" si="95"/>
        <v>0</v>
      </c>
      <c r="AY141" s="96">
        <f t="shared" si="96"/>
        <v>0</v>
      </c>
      <c r="AZ141" s="23"/>
      <c r="BA141" s="828"/>
    </row>
    <row r="142" spans="1:53">
      <c r="A142" s="1391"/>
      <c r="B142" s="159">
        <v>12</v>
      </c>
      <c r="C142" s="251">
        <v>0</v>
      </c>
      <c r="D142" s="917" t="str">
        <f>Z142</f>
        <v>OTHER 1</v>
      </c>
      <c r="E142" s="922" t="str">
        <f>AA141</f>
        <v>-</v>
      </c>
      <c r="F142" s="159"/>
      <c r="G142" s="427"/>
      <c r="H142" s="868"/>
      <c r="I142" s="868"/>
      <c r="J142" s="1444" t="str">
        <f>"Sugar syrup (SG = "&amp;1*FIXED((1000+375*L140/N140),0)&amp;") vol.    =     "&amp;1*FIXED(N140,0)&amp;"ml        "</f>
        <v xml:space="preserve">Sugar syrup (SG = 1300) vol.    =     738ml        </v>
      </c>
      <c r="K142" s="1445"/>
      <c r="L142" s="1446"/>
      <c r="M142" s="1439" t="str">
        <f>"         "&amp;1*FIXED((N141),0)&amp;"ml     =   "&amp;FIXED(O140*(5/6))&amp;" UK pt  =  "&amp;O140&amp;" US pt.    "</f>
        <v xml:space="preserve">         2215ml     =   3.90 UK pt  =  4.68 US pt.    </v>
      </c>
      <c r="N142" s="1440"/>
      <c r="O142" s="1441"/>
      <c r="P142" s="1442" t="s">
        <v>624</v>
      </c>
      <c r="Q142" s="1443"/>
      <c r="R142" s="297">
        <v>5</v>
      </c>
      <c r="S142" s="262">
        <f t="shared" si="81"/>
        <v>15</v>
      </c>
      <c r="T142" s="377">
        <f t="shared" si="82"/>
        <v>0.52910986084410661</v>
      </c>
      <c r="U142" s="398" t="str">
        <f t="shared" si="83"/>
        <v>0 lb  0.53 oz</v>
      </c>
      <c r="V142" s="142"/>
      <c r="W142" s="142"/>
      <c r="X142" s="128"/>
      <c r="Y142" s="22"/>
      <c r="Z142" s="65" t="s">
        <v>598</v>
      </c>
      <c r="AA142" s="65" t="s">
        <v>376</v>
      </c>
      <c r="AB142" s="507">
        <v>0</v>
      </c>
      <c r="AC142" s="507">
        <v>0</v>
      </c>
      <c r="AD142" s="507">
        <v>0</v>
      </c>
      <c r="AE142" s="507">
        <v>0</v>
      </c>
      <c r="AF142" s="507">
        <v>0</v>
      </c>
      <c r="AG142" s="507">
        <v>0</v>
      </c>
      <c r="AH142" s="507">
        <v>0</v>
      </c>
      <c r="AI142" s="509">
        <v>0</v>
      </c>
      <c r="AJ142" s="509">
        <v>0</v>
      </c>
      <c r="AK142" s="509">
        <v>0</v>
      </c>
      <c r="AL142" s="509">
        <v>0</v>
      </c>
      <c r="AM142" s="55"/>
      <c r="AN142" s="154">
        <f t="shared" si="85"/>
        <v>1</v>
      </c>
      <c r="AO142" s="14">
        <f t="shared" si="86"/>
        <v>0</v>
      </c>
      <c r="AP142" s="14">
        <f t="shared" si="87"/>
        <v>0</v>
      </c>
      <c r="AQ142" s="14">
        <f t="shared" si="88"/>
        <v>0</v>
      </c>
      <c r="AR142" s="14">
        <f t="shared" si="89"/>
        <v>0</v>
      </c>
      <c r="AS142" s="95">
        <f t="shared" si="90"/>
        <v>0</v>
      </c>
      <c r="AT142" s="96">
        <f t="shared" si="91"/>
        <v>0</v>
      </c>
      <c r="AU142" s="96">
        <f t="shared" si="92"/>
        <v>0</v>
      </c>
      <c r="AV142" s="96">
        <f t="shared" si="93"/>
        <v>0</v>
      </c>
      <c r="AW142" s="96">
        <f t="shared" si="94"/>
        <v>0</v>
      </c>
      <c r="AX142" s="96">
        <f t="shared" si="95"/>
        <v>0</v>
      </c>
      <c r="AY142" s="96">
        <f t="shared" si="96"/>
        <v>0</v>
      </c>
      <c r="AZ142" s="13"/>
      <c r="BA142" s="828"/>
    </row>
    <row r="143" spans="1:53" ht="15" customHeight="1">
      <c r="A143" s="1009"/>
      <c r="B143" s="1398" t="str">
        <f>"Vegetables, if used - exc. rhubarb - see the `FRUIT` section, MUST be washed, chopped, diced etc. &amp; boiled separately with an equivalent weight of water &amp; then strained ̸ sparged out onto the "&amp;L13&amp;"g sugar (see cell L13). Extra sparge water may be added to make the volume up to the stated "&amp;(ROUND(W12,-1))&amp;"ml as required."</f>
        <v>Vegetables, if used - exc. rhubarb - see the `FRUIT` section, MUST be washed, chopped, diced etc. &amp; boiled separately with an equivalent weight of water &amp; then strained ̸ sparged out onto the 600g sugar (see cell L13). Extra sparge water may be added to make the volume up to the stated 750ml as required.</v>
      </c>
      <c r="C143" s="1398"/>
      <c r="D143" s="1398"/>
      <c r="E143" s="1398"/>
      <c r="F143" s="1398"/>
      <c r="G143" s="427"/>
      <c r="H143" s="132"/>
      <c r="I143" s="132"/>
      <c r="J143" s="132"/>
      <c r="K143" s="132"/>
      <c r="L143" s="132"/>
      <c r="M143" s="132"/>
      <c r="N143" s="132"/>
      <c r="O143" s="132"/>
      <c r="P143" s="132"/>
      <c r="Q143" s="132"/>
      <c r="R143" s="132"/>
      <c r="S143" s="132"/>
      <c r="T143" s="132"/>
      <c r="U143" s="132"/>
      <c r="V143" s="1012"/>
      <c r="W143" s="143"/>
      <c r="X143" s="128"/>
      <c r="Y143" s="628"/>
      <c r="Z143" s="606"/>
      <c r="AA143" s="606"/>
      <c r="AB143" s="125"/>
      <c r="AC143" s="125"/>
      <c r="AD143" s="125"/>
      <c r="AE143" s="125"/>
      <c r="AF143" s="125"/>
      <c r="AG143" s="125"/>
      <c r="AH143" s="125"/>
      <c r="AI143" s="125"/>
      <c r="AJ143" s="125"/>
      <c r="AK143" s="125"/>
      <c r="AL143" s="125"/>
      <c r="AM143" s="125"/>
      <c r="AN143" s="125"/>
      <c r="AO143" s="125"/>
      <c r="AP143" s="125"/>
      <c r="AQ143" s="125"/>
      <c r="AR143" s="125"/>
      <c r="AS143" s="125"/>
      <c r="AT143" s="125"/>
      <c r="AU143" s="125"/>
      <c r="AV143" s="125"/>
      <c r="AW143" s="125"/>
      <c r="AX143" s="125"/>
      <c r="AY143" s="125"/>
      <c r="AZ143" s="125"/>
      <c r="BA143" s="828"/>
    </row>
    <row r="144" spans="1:53">
      <c r="A144" s="1009"/>
      <c r="B144" s="1399"/>
      <c r="C144" s="1399"/>
      <c r="D144" s="1399"/>
      <c r="E144" s="1399"/>
      <c r="F144" s="1399"/>
      <c r="G144" s="427"/>
      <c r="H144" s="131"/>
      <c r="I144" s="132"/>
      <c r="J144" s="131"/>
      <c r="K144" s="131"/>
      <c r="L144" s="131"/>
      <c r="M144" s="131"/>
      <c r="N144" s="131"/>
      <c r="O144" s="131"/>
      <c r="P144" s="131"/>
      <c r="Q144" s="131"/>
      <c r="R144" s="131"/>
      <c r="S144" s="131"/>
      <c r="T144" s="131"/>
      <c r="U144" s="131"/>
      <c r="V144" s="1012"/>
      <c r="W144" s="143"/>
      <c r="X144" s="128"/>
      <c r="Y144" s="628"/>
      <c r="Z144" s="606"/>
      <c r="AA144" s="606"/>
      <c r="AB144" s="125"/>
      <c r="AC144" s="125"/>
      <c r="AD144" s="125"/>
      <c r="AE144" s="125"/>
      <c r="AF144" s="125"/>
      <c r="AG144" s="125"/>
      <c r="AH144" s="125"/>
      <c r="AI144" s="125"/>
      <c r="AJ144" s="125"/>
      <c r="AK144" s="125"/>
      <c r="AL144" s="125"/>
      <c r="AM144" s="125"/>
      <c r="AN144" s="387">
        <f>SUM(AN13:AN131)</f>
        <v>0</v>
      </c>
      <c r="AO144" s="387">
        <f t="shared" ref="AO144:AY144" si="97">SUM(AO13:AO142)</f>
        <v>357</v>
      </c>
      <c r="AP144" s="387">
        <f t="shared" si="97"/>
        <v>21</v>
      </c>
      <c r="AQ144" s="387">
        <f t="shared" si="97"/>
        <v>2.2000000000000002</v>
      </c>
      <c r="AR144" s="387">
        <f t="shared" si="97"/>
        <v>3.5700000000000109</v>
      </c>
      <c r="AS144" s="387">
        <f t="shared" si="97"/>
        <v>0.5</v>
      </c>
      <c r="AT144" s="387">
        <f t="shared" si="97"/>
        <v>4460</v>
      </c>
      <c r="AU144" s="387">
        <f t="shared" si="97"/>
        <v>3600</v>
      </c>
      <c r="AV144" s="387">
        <f t="shared" si="97"/>
        <v>0.7</v>
      </c>
      <c r="AW144" s="387">
        <f t="shared" si="97"/>
        <v>4.5999999999999996</v>
      </c>
      <c r="AX144" s="387">
        <f t="shared" si="97"/>
        <v>1.46</v>
      </c>
      <c r="AY144" s="387">
        <f t="shared" si="97"/>
        <v>1.2999999999999998</v>
      </c>
      <c r="AZ144" s="125"/>
      <c r="BA144" s="828"/>
    </row>
    <row r="145" spans="1:53">
      <c r="A145" s="1009"/>
      <c r="B145" s="1399"/>
      <c r="C145" s="1399"/>
      <c r="D145" s="1399"/>
      <c r="E145" s="1399"/>
      <c r="F145" s="1399"/>
      <c r="G145" s="427"/>
      <c r="H145" s="1009"/>
      <c r="I145" s="1009"/>
      <c r="J145" s="1396" t="s">
        <v>625</v>
      </c>
      <c r="K145" s="1396"/>
      <c r="L145" s="1009"/>
      <c r="M145" s="1009"/>
      <c r="N145" s="1009"/>
      <c r="O145" s="1009"/>
      <c r="P145" s="1009"/>
      <c r="Q145" s="1009"/>
      <c r="R145" s="1009"/>
      <c r="S145" s="1009"/>
      <c r="T145" s="1009"/>
      <c r="U145" s="1009"/>
      <c r="V145" s="1009"/>
      <c r="W145" s="1009"/>
      <c r="X145" s="1009"/>
      <c r="Y145" s="628"/>
      <c r="Z145" s="606"/>
      <c r="AA145" s="606"/>
      <c r="AB145" s="125"/>
      <c r="AC145" s="125"/>
      <c r="AD145" s="125"/>
      <c r="AE145" s="125"/>
      <c r="AF145" s="125"/>
      <c r="AG145" s="125"/>
      <c r="AH145" s="125"/>
      <c r="AI145" s="125"/>
      <c r="AJ145" s="125"/>
      <c r="AK145" s="125"/>
      <c r="AL145" s="125"/>
      <c r="AM145" s="125"/>
      <c r="AN145" s="125"/>
      <c r="AO145" s="125"/>
      <c r="AP145" s="125"/>
      <c r="AQ145" s="125"/>
      <c r="AR145" s="125"/>
      <c r="AS145" s="125"/>
      <c r="AT145" s="125"/>
      <c r="AU145" s="125"/>
      <c r="AV145" s="125"/>
      <c r="AW145" s="125"/>
      <c r="AX145" s="125"/>
      <c r="AY145" s="125"/>
      <c r="AZ145" s="125"/>
      <c r="BA145" s="828"/>
    </row>
    <row r="146" spans="1:53" ht="15" customHeight="1">
      <c r="A146" s="1009"/>
      <c r="B146" s="1399"/>
      <c r="C146" s="1399"/>
      <c r="D146" s="1399"/>
      <c r="E146" s="1399"/>
      <c r="F146" s="1399"/>
      <c r="G146" s="142"/>
      <c r="H146" s="142"/>
      <c r="I146" s="142"/>
      <c r="J146" s="1051" t="s">
        <v>626</v>
      </c>
      <c r="K146" s="1051"/>
      <c r="L146" s="1051"/>
      <c r="M146" s="1051"/>
      <c r="N146" s="1051"/>
      <c r="O146" s="1051"/>
      <c r="P146" s="1051"/>
      <c r="Q146" s="1051"/>
      <c r="R146" s="625"/>
      <c r="S146" s="1009"/>
      <c r="T146" s="141"/>
      <c r="U146" s="628"/>
      <c r="V146" s="1009"/>
      <c r="W146" s="1009"/>
      <c r="X146" s="1009"/>
      <c r="Y146" s="628"/>
      <c r="Z146" s="606"/>
      <c r="AA146" s="606"/>
      <c r="AB146" s="125"/>
      <c r="AC146" s="125"/>
      <c r="AD146" s="125"/>
      <c r="AE146" s="125"/>
      <c r="AF146" s="125"/>
      <c r="AG146" s="125"/>
      <c r="AH146" s="125"/>
      <c r="AI146" s="125"/>
      <c r="AJ146" s="125"/>
      <c r="AK146" s="125"/>
      <c r="AL146" s="125"/>
      <c r="AM146" s="125"/>
      <c r="AN146" s="125"/>
      <c r="AO146" s="125"/>
      <c r="AP146" s="125"/>
      <c r="AQ146" s="125"/>
      <c r="AR146" s="125"/>
      <c r="AS146" s="125"/>
      <c r="AT146" s="125"/>
      <c r="AU146" s="125"/>
      <c r="AV146" s="125"/>
      <c r="AW146" s="125"/>
      <c r="AX146" s="125"/>
      <c r="AY146" s="125"/>
      <c r="AZ146" s="125"/>
      <c r="BA146" s="828"/>
    </row>
    <row r="147" spans="1:53" ht="13.9" customHeight="1">
      <c r="A147" s="1009"/>
      <c r="B147" s="1399"/>
      <c r="C147" s="1399"/>
      <c r="D147" s="1399"/>
      <c r="E147" s="1399"/>
      <c r="F147" s="1399"/>
      <c r="G147" s="142"/>
      <c r="H147" s="142"/>
      <c r="I147" s="142"/>
      <c r="J147" s="142"/>
      <c r="K147" s="625"/>
      <c r="L147" s="625"/>
      <c r="M147" s="625"/>
      <c r="N147" s="625"/>
      <c r="O147" s="625"/>
      <c r="P147" s="625"/>
      <c r="Q147" s="625"/>
      <c r="R147" s="625"/>
      <c r="S147" s="1009"/>
      <c r="T147" s="1009"/>
      <c r="U147" s="1009"/>
      <c r="V147" s="1397" t="s">
        <v>627</v>
      </c>
      <c r="W147" s="1397"/>
      <c r="X147" s="1397"/>
      <c r="Y147" s="628"/>
      <c r="Z147" s="606"/>
      <c r="AA147" s="606"/>
      <c r="AB147" s="125"/>
      <c r="AC147" s="125"/>
      <c r="AD147" s="125"/>
      <c r="AE147" s="125"/>
      <c r="AF147" s="125"/>
      <c r="AG147" s="125"/>
      <c r="AH147" s="125"/>
      <c r="AI147" s="125"/>
      <c r="AJ147" s="125"/>
      <c r="AK147" s="125"/>
      <c r="AL147" s="125"/>
      <c r="AM147" s="125"/>
      <c r="AN147" s="125"/>
      <c r="AO147" s="125"/>
      <c r="AP147" s="125"/>
      <c r="AQ147" s="125"/>
      <c r="AR147" s="125"/>
      <c r="AS147" s="125"/>
      <c r="AT147" s="125"/>
      <c r="AU147" s="125"/>
      <c r="AV147" s="125"/>
      <c r="AW147" s="125"/>
      <c r="AX147" s="125"/>
      <c r="AY147" s="125"/>
      <c r="AZ147" s="125"/>
      <c r="BA147" s="828"/>
    </row>
    <row r="148" spans="1:53">
      <c r="A148" s="1009"/>
      <c r="B148" s="142"/>
      <c r="C148" s="142"/>
      <c r="D148" s="142"/>
      <c r="E148" s="142"/>
      <c r="F148" s="142"/>
      <c r="G148" s="142"/>
      <c r="H148" s="142"/>
      <c r="I148" s="142"/>
      <c r="J148" s="222"/>
      <c r="K148" s="223"/>
      <c r="L148" s="223"/>
      <c r="M148" s="223"/>
      <c r="N148" s="223"/>
      <c r="O148" s="142"/>
      <c r="P148" s="142"/>
      <c r="Q148" s="142"/>
      <c r="R148" s="79"/>
      <c r="S148" s="1078" t="s">
        <v>628</v>
      </c>
      <c r="T148" s="1078"/>
      <c r="U148" s="1456"/>
      <c r="V148" s="1121" t="s">
        <v>36</v>
      </c>
      <c r="W148" s="1080"/>
      <c r="X148" s="408"/>
      <c r="Y148" s="628"/>
      <c r="Z148" s="606"/>
      <c r="AA148" s="606"/>
      <c r="AB148" s="125"/>
      <c r="AC148" s="125"/>
      <c r="AD148" s="125"/>
      <c r="AE148" s="125"/>
      <c r="AF148" s="125"/>
      <c r="AG148" s="125"/>
      <c r="AH148" s="125"/>
      <c r="AI148" s="125"/>
      <c r="AJ148" s="125"/>
      <c r="AK148" s="125"/>
      <c r="AL148" s="125"/>
      <c r="AM148" s="125"/>
      <c r="AN148" s="125"/>
      <c r="AO148" s="125"/>
      <c r="AP148" s="125"/>
      <c r="AQ148" s="125"/>
      <c r="AR148" s="125"/>
      <c r="AS148" s="125"/>
      <c r="AT148" s="125"/>
      <c r="AU148" s="125"/>
      <c r="AV148" s="125"/>
      <c r="AW148" s="125"/>
      <c r="AX148" s="125"/>
      <c r="AY148" s="125"/>
      <c r="AZ148" s="125"/>
      <c r="BA148" s="828"/>
    </row>
    <row r="149" spans="1:53">
      <c r="A149" s="1009"/>
      <c r="B149" s="142"/>
      <c r="C149" s="628"/>
      <c r="D149" s="1049" t="s">
        <v>995</v>
      </c>
      <c r="E149" s="142"/>
      <c r="F149" s="142"/>
      <c r="G149" s="142"/>
      <c r="H149" s="142"/>
      <c r="I149" s="142"/>
      <c r="J149" s="1428" t="s">
        <v>864</v>
      </c>
      <c r="K149" s="1428"/>
      <c r="L149" s="1428"/>
      <c r="M149" s="1428"/>
      <c r="N149" s="1428"/>
      <c r="O149" s="1428"/>
      <c r="P149" s="1428"/>
      <c r="Q149" s="142"/>
      <c r="R149" s="79"/>
      <c r="S149" s="1078" t="s">
        <v>42</v>
      </c>
      <c r="T149" s="1078"/>
      <c r="U149" s="1429"/>
      <c r="V149" s="1079" t="s">
        <v>43</v>
      </c>
      <c r="W149" s="1080"/>
      <c r="X149" s="624"/>
      <c r="Y149" s="628"/>
      <c r="Z149" s="606"/>
      <c r="AA149" s="606"/>
      <c r="AB149" s="125"/>
      <c r="AC149" s="125"/>
      <c r="AD149" s="125"/>
      <c r="AE149" s="125"/>
      <c r="AF149" s="125"/>
      <c r="AG149" s="125"/>
      <c r="AH149" s="125"/>
      <c r="AI149" s="125"/>
      <c r="AJ149" s="125"/>
      <c r="AK149" s="125"/>
      <c r="AL149" s="125"/>
      <c r="AM149" s="125"/>
      <c r="AN149" s="125"/>
      <c r="AO149" s="125"/>
      <c r="AP149" s="125"/>
      <c r="AQ149" s="125"/>
      <c r="AR149" s="125"/>
      <c r="AS149" s="125"/>
      <c r="AT149" s="125"/>
      <c r="AU149" s="125"/>
      <c r="AV149" s="125"/>
      <c r="AW149" s="125"/>
      <c r="AX149" s="125"/>
      <c r="AY149" s="125"/>
      <c r="AZ149" s="125"/>
      <c r="BA149" s="828"/>
    </row>
    <row r="150" spans="1:53">
      <c r="A150" s="1009"/>
      <c r="B150" s="142"/>
      <c r="C150" s="628"/>
      <c r="D150" s="142"/>
      <c r="E150" s="142"/>
      <c r="F150" s="142"/>
      <c r="G150" s="142"/>
      <c r="H150" s="142"/>
      <c r="I150" s="142"/>
      <c r="J150" s="1012"/>
      <c r="K150" s="1012"/>
      <c r="L150" s="1012"/>
      <c r="M150" s="1012"/>
      <c r="N150" s="1012"/>
      <c r="O150" s="1012"/>
      <c r="P150" s="1012"/>
      <c r="Q150" s="142"/>
      <c r="R150" s="79"/>
      <c r="S150" s="269"/>
      <c r="T150" s="269"/>
      <c r="U150" s="269"/>
      <c r="V150" s="499"/>
      <c r="W150" s="499"/>
      <c r="X150" s="499"/>
      <c r="Y150" s="628"/>
      <c r="Z150" s="606"/>
      <c r="AA150" s="606"/>
      <c r="AB150" s="125"/>
      <c r="AC150" s="125"/>
      <c r="AD150" s="125"/>
      <c r="AE150" s="125"/>
      <c r="AF150" s="125"/>
      <c r="AG150" s="125"/>
      <c r="AH150" s="125"/>
      <c r="AI150" s="125"/>
      <c r="AJ150" s="125"/>
      <c r="AK150" s="125"/>
      <c r="AL150" s="125"/>
      <c r="AM150" s="125"/>
      <c r="AN150" s="125"/>
      <c r="AO150" s="125"/>
      <c r="AP150" s="125"/>
      <c r="AQ150" s="125"/>
      <c r="AR150" s="125"/>
      <c r="AS150" s="125"/>
      <c r="AT150" s="125"/>
      <c r="AU150" s="125"/>
      <c r="AV150" s="125"/>
      <c r="AW150" s="125"/>
      <c r="AX150" s="125"/>
      <c r="AY150" s="125"/>
      <c r="AZ150" s="125"/>
      <c r="BA150" s="828"/>
    </row>
    <row r="151" spans="1:53">
      <c r="A151" s="1006"/>
      <c r="B151" s="142"/>
      <c r="C151" s="142"/>
      <c r="D151" s="142"/>
      <c r="E151" s="142"/>
      <c r="F151" s="142"/>
      <c r="G151" s="142"/>
      <c r="H151" s="142"/>
      <c r="I151" s="142"/>
      <c r="J151" s="142"/>
      <c r="K151" s="142"/>
      <c r="L151" s="142"/>
      <c r="M151" s="142"/>
      <c r="N151" s="142"/>
      <c r="O151" s="142"/>
      <c r="P151" s="142"/>
      <c r="Q151" s="142"/>
      <c r="R151" s="142"/>
      <c r="S151" s="142"/>
      <c r="T151" s="142"/>
      <c r="U151" s="142"/>
      <c r="V151" s="142"/>
      <c r="W151" s="142"/>
      <c r="X151" s="142"/>
      <c r="Y151" s="142"/>
      <c r="Z151" s="606"/>
      <c r="AA151" s="606"/>
      <c r="AB151" s="125"/>
      <c r="AC151" s="125"/>
      <c r="AD151" s="125"/>
      <c r="AE151" s="125"/>
      <c r="AF151" s="125"/>
      <c r="AG151" s="125"/>
      <c r="AH151" s="125"/>
      <c r="AI151" s="125"/>
      <c r="AJ151" s="125"/>
      <c r="AK151" s="125"/>
      <c r="AL151" s="125"/>
      <c r="AM151" s="125"/>
      <c r="AN151" s="125"/>
      <c r="AO151" s="125"/>
      <c r="AP151" s="125"/>
      <c r="AQ151" s="125"/>
      <c r="AR151" s="125"/>
      <c r="AS151" s="125"/>
      <c r="AT151" s="125"/>
      <c r="AU151" s="125"/>
      <c r="AV151" s="125"/>
      <c r="AW151" s="125"/>
      <c r="AX151" s="125"/>
      <c r="AY151" s="125"/>
      <c r="AZ151" s="125"/>
      <c r="BA151" s="828"/>
    </row>
    <row r="152" spans="1:53">
      <c r="A152" s="1457" t="s">
        <v>629</v>
      </c>
      <c r="B152" s="1457"/>
      <c r="C152" s="1457"/>
      <c r="D152" s="1457"/>
      <c r="E152" s="285"/>
      <c r="F152" s="142"/>
      <c r="G152" s="142"/>
      <c r="H152" s="142"/>
      <c r="I152" s="142"/>
      <c r="J152" s="1458" t="s">
        <v>630</v>
      </c>
      <c r="K152" s="1458"/>
      <c r="L152" s="1458"/>
      <c r="M152" s="1010"/>
      <c r="N152" s="1011"/>
      <c r="O152" s="1011"/>
      <c r="P152" s="1011"/>
      <c r="Q152" s="1011"/>
      <c r="R152" s="1011"/>
      <c r="S152" s="1011"/>
      <c r="T152" s="1011"/>
      <c r="U152" s="1011"/>
      <c r="V152" s="1011"/>
      <c r="W152" s="1011"/>
      <c r="X152" s="1011"/>
      <c r="Y152" s="628"/>
      <c r="Z152" s="606"/>
      <c r="AA152" s="606"/>
      <c r="AB152" s="125"/>
      <c r="AC152" s="125"/>
      <c r="AD152" s="125"/>
      <c r="AE152" s="125"/>
      <c r="AF152" s="125"/>
      <c r="AG152" s="125"/>
      <c r="AH152" s="125"/>
      <c r="AI152" s="125"/>
      <c r="AJ152" s="125"/>
      <c r="AK152" s="125"/>
      <c r="AL152" s="125"/>
      <c r="AM152" s="125"/>
      <c r="AN152" s="125"/>
      <c r="AO152" s="125"/>
      <c r="AP152" s="125"/>
      <c r="AQ152" s="125"/>
      <c r="AR152" s="125"/>
      <c r="AS152" s="125"/>
      <c r="AT152" s="125"/>
      <c r="AU152" s="125"/>
      <c r="AV152" s="125"/>
      <c r="AW152" s="125"/>
      <c r="AX152" s="125"/>
      <c r="AY152" s="125"/>
      <c r="AZ152" s="125"/>
      <c r="BA152" s="828"/>
    </row>
    <row r="153" spans="1:53" ht="15.75">
      <c r="A153" s="1009"/>
      <c r="B153" s="142"/>
      <c r="C153" s="142"/>
      <c r="D153" s="1043" t="s">
        <v>988</v>
      </c>
      <c r="E153" s="1459" t="s">
        <v>936</v>
      </c>
      <c r="F153" s="1460"/>
      <c r="G153" s="142"/>
      <c r="H153" s="142"/>
      <c r="I153" s="142"/>
      <c r="J153" s="52" t="s">
        <v>46</v>
      </c>
      <c r="K153" s="52" t="s">
        <v>631</v>
      </c>
      <c r="L153" s="213" t="s">
        <v>632</v>
      </c>
      <c r="M153" s="132"/>
      <c r="N153" s="52" t="s">
        <v>51</v>
      </c>
      <c r="O153" s="52" t="s">
        <v>52</v>
      </c>
      <c r="P153" s="52" t="s">
        <v>57</v>
      </c>
      <c r="Q153" s="52" t="s">
        <v>60</v>
      </c>
      <c r="R153" s="79"/>
      <c r="S153" s="271" t="s">
        <v>58</v>
      </c>
      <c r="T153" s="272" t="s">
        <v>57</v>
      </c>
      <c r="U153" s="1007" t="s">
        <v>57</v>
      </c>
      <c r="V153" s="1011"/>
      <c r="W153" s="1011"/>
      <c r="X153" s="1011"/>
      <c r="Y153" s="628"/>
      <c r="Z153" s="606"/>
      <c r="AA153" s="606"/>
      <c r="AB153" s="125"/>
      <c r="AC153" s="125"/>
      <c r="AD153" s="125"/>
      <c r="AE153" s="125"/>
      <c r="AF153" s="125"/>
      <c r="AG153" s="125"/>
      <c r="AH153" s="125"/>
      <c r="AI153" s="125"/>
      <c r="AJ153" s="125"/>
      <c r="AK153" s="125"/>
      <c r="AL153" s="125"/>
      <c r="AM153" s="125"/>
      <c r="AN153" s="125"/>
      <c r="AO153" s="125"/>
      <c r="AP153" s="125"/>
      <c r="AQ153" s="125"/>
      <c r="AR153" s="125"/>
      <c r="AS153" s="125"/>
      <c r="AT153" s="125"/>
      <c r="AU153" s="125"/>
      <c r="AV153" s="125"/>
      <c r="AW153" s="125"/>
      <c r="AX153" s="125"/>
      <c r="AY153" s="125"/>
      <c r="AZ153" s="125"/>
      <c r="BA153" s="828"/>
    </row>
    <row r="154" spans="1:53">
      <c r="A154" s="868"/>
      <c r="B154" s="142"/>
      <c r="C154" s="142"/>
      <c r="D154" s="298" t="s">
        <v>633</v>
      </c>
      <c r="E154" s="1461">
        <v>20</v>
      </c>
      <c r="F154" s="1462"/>
      <c r="G154" s="142"/>
      <c r="H154" s="131"/>
      <c r="I154" s="142"/>
      <c r="J154" s="129">
        <v>1</v>
      </c>
      <c r="K154" s="84">
        <f>L154*(5/6)</f>
        <v>1.7611524981948188</v>
      </c>
      <c r="L154" s="214">
        <f>8*J154/3.7854</f>
        <v>2.1133829978337824</v>
      </c>
      <c r="M154" s="868"/>
      <c r="N154" s="84">
        <f>O154*28.3495</f>
        <v>24110.966254999999</v>
      </c>
      <c r="O154" s="485">
        <v>850.49</v>
      </c>
      <c r="P154" s="84">
        <f>O154/28.3495</f>
        <v>30.000176369953618</v>
      </c>
      <c r="Q154" s="842" t="str">
        <f>INT(P154/16)&amp;" lb  "&amp;FIXED(P154-16*INT(P154/16))&amp;" oz"</f>
        <v>1 lb  14.00 oz</v>
      </c>
      <c r="R154" s="858"/>
      <c r="S154" s="273">
        <v>3</v>
      </c>
      <c r="T154" s="934">
        <v>15</v>
      </c>
      <c r="U154" s="144">
        <f>S154*16+T154</f>
        <v>63</v>
      </c>
      <c r="V154" s="843"/>
      <c r="W154" s="843"/>
      <c r="X154" s="843"/>
      <c r="Y154" s="628"/>
      <c r="Z154" s="606"/>
      <c r="AA154" s="606"/>
      <c r="AB154" s="125"/>
      <c r="AC154" s="125"/>
      <c r="AD154" s="125"/>
      <c r="AE154" s="125"/>
      <c r="AF154" s="125"/>
      <c r="AG154" s="125"/>
      <c r="AH154" s="125"/>
      <c r="AI154" s="125"/>
      <c r="AJ154" s="125"/>
      <c r="AK154" s="125"/>
      <c r="AL154" s="125"/>
      <c r="AM154" s="125"/>
      <c r="AN154" s="125"/>
      <c r="AO154" s="125"/>
      <c r="AP154" s="125"/>
      <c r="AQ154" s="125"/>
      <c r="AR154" s="125"/>
      <c r="AS154" s="125"/>
      <c r="AT154" s="125"/>
      <c r="AU154" s="125"/>
      <c r="AV154" s="125"/>
      <c r="AW154" s="125"/>
      <c r="AX154" s="125"/>
      <c r="AY154" s="125"/>
      <c r="AZ154" s="125"/>
      <c r="BA154" s="828"/>
    </row>
    <row r="155" spans="1:53">
      <c r="A155" s="868"/>
      <c r="B155" s="142"/>
      <c r="C155" s="142"/>
      <c r="D155" s="848" t="s">
        <v>634</v>
      </c>
      <c r="E155" s="301">
        <v>20</v>
      </c>
      <c r="F155" s="302">
        <v>22</v>
      </c>
      <c r="G155" s="142"/>
      <c r="H155" s="131"/>
      <c r="I155" s="142"/>
      <c r="J155" s="84">
        <f>3.7854*L155/8</f>
        <v>0.56781000000000004</v>
      </c>
      <c r="K155" s="129">
        <v>1</v>
      </c>
      <c r="L155" s="214">
        <f>K155*(6/5)</f>
        <v>1.2</v>
      </c>
      <c r="M155" s="868"/>
      <c r="N155" s="868"/>
      <c r="O155" s="868"/>
      <c r="P155" s="141"/>
      <c r="Q155" s="854"/>
      <c r="R155" s="868"/>
      <c r="S155" s="868"/>
      <c r="T155" s="868"/>
      <c r="U155" s="868"/>
      <c r="V155" s="843"/>
      <c r="W155" s="843"/>
      <c r="X155" s="843"/>
      <c r="Y155" s="628"/>
      <c r="Z155" s="606"/>
      <c r="AA155" s="606"/>
      <c r="AB155" s="125"/>
      <c r="AC155" s="125"/>
      <c r="AD155" s="125"/>
      <c r="AE155" s="125"/>
      <c r="AF155" s="125"/>
      <c r="AG155" s="125"/>
      <c r="AH155" s="125"/>
      <c r="AI155" s="125"/>
      <c r="AJ155" s="125"/>
      <c r="AK155" s="125"/>
      <c r="AL155" s="125"/>
      <c r="AM155" s="125"/>
      <c r="AN155" s="125"/>
      <c r="AO155" s="125"/>
      <c r="AP155" s="125"/>
      <c r="AQ155" s="125"/>
      <c r="AR155" s="125"/>
      <c r="AS155" s="125"/>
      <c r="AT155" s="125"/>
      <c r="AU155" s="125"/>
      <c r="AV155" s="125"/>
      <c r="AW155" s="125"/>
      <c r="AX155" s="125"/>
      <c r="AY155" s="125"/>
      <c r="AZ155" s="125"/>
      <c r="BA155" s="828"/>
    </row>
    <row r="156" spans="1:53">
      <c r="A156" s="868"/>
      <c r="B156" s="142"/>
      <c r="C156" s="142"/>
      <c r="D156" s="866" t="s">
        <v>102</v>
      </c>
      <c r="E156" s="471">
        <f>E5</f>
        <v>1074.765625</v>
      </c>
      <c r="F156" s="472">
        <f>E7</f>
        <v>994.09351562500001</v>
      </c>
      <c r="G156" s="142"/>
      <c r="H156" s="131"/>
      <c r="I156" s="142"/>
      <c r="J156" s="84">
        <f>3.7854*L156/8</f>
        <v>0.47317500000000001</v>
      </c>
      <c r="K156" s="84">
        <f>L156*(5/6)</f>
        <v>0.83333333333333337</v>
      </c>
      <c r="L156" s="215">
        <v>1</v>
      </c>
      <c r="M156" s="868"/>
      <c r="N156" s="868"/>
      <c r="O156" s="132"/>
      <c r="P156" s="132"/>
      <c r="Q156" s="79"/>
      <c r="R156" s="868"/>
      <c r="S156" s="868"/>
      <c r="T156" s="52" t="s">
        <v>57</v>
      </c>
      <c r="U156" s="52" t="s">
        <v>60</v>
      </c>
      <c r="V156" s="843"/>
      <c r="W156" s="843"/>
      <c r="X156" s="843"/>
      <c r="Y156" s="628"/>
      <c r="Z156" s="606"/>
      <c r="AA156" s="606"/>
      <c r="AB156" s="125"/>
      <c r="AC156" s="125"/>
      <c r="AD156" s="125"/>
      <c r="AE156" s="125"/>
      <c r="AF156" s="125"/>
      <c r="AG156" s="125"/>
      <c r="AH156" s="125"/>
      <c r="AI156" s="125"/>
      <c r="AJ156" s="125"/>
      <c r="AK156" s="125"/>
      <c r="AL156" s="125"/>
      <c r="AM156" s="125"/>
      <c r="AN156" s="125"/>
      <c r="AO156" s="125"/>
      <c r="AP156" s="125"/>
      <c r="AQ156" s="125"/>
      <c r="AR156" s="125"/>
      <c r="AS156" s="125"/>
      <c r="AT156" s="125"/>
      <c r="AU156" s="125"/>
      <c r="AV156" s="125"/>
      <c r="AW156" s="125"/>
      <c r="AX156" s="125"/>
      <c r="AY156" s="125"/>
      <c r="AZ156" s="125"/>
      <c r="BA156" s="828"/>
    </row>
    <row r="157" spans="1:53">
      <c r="A157" s="868"/>
      <c r="B157" s="142"/>
      <c r="C157" s="142"/>
      <c r="D157" s="866" t="s">
        <v>103</v>
      </c>
      <c r="E157" s="299">
        <f>1000+(FIXED(E156*((1.00130346-0.000134722124*(((E155+40)*9/5)-40)+0.00000204052596*(((E155+40)*9/5)-40)^2-0.00000000232820948*(((E155+40)*9/5)-40)^3)/(1.00130346-0.000134722124*(((E154+40)*9/5)-40)+0.00000204052596*(((E154+40)*9/5)-40)^2-0.00000000232820948*(((E154+40)*9/5)-40)^3)),1)-1000)</f>
        <v>1074.8</v>
      </c>
      <c r="F157" s="300">
        <f>1000+(FIXED(F156*((1.00130346-0.000134722124*(((F155+40)*9/5)-40)+0.00000204052596*(((F155+40)*9/5)-40)^2-0.00000000232820948*(((F155+40)*9/5)-40)^3)/(1.00130346-0.000134722124*(((E154+40)*9/5)-40)+0.00000204052596*(((E154+40)*9/5)-40)^2-0.00000000232820948*(((E154+40)*9/5)-40)^3)),1)-1000)</f>
        <v>994.5</v>
      </c>
      <c r="G157" s="142"/>
      <c r="H157" s="131"/>
      <c r="I157" s="142"/>
      <c r="J157" s="131"/>
      <c r="K157" s="131"/>
      <c r="L157" s="131"/>
      <c r="M157" s="395"/>
      <c r="N157" s="395"/>
      <c r="O157" s="131"/>
      <c r="P157" s="131"/>
      <c r="Q157" s="131"/>
      <c r="R157" s="131"/>
      <c r="S157" s="854"/>
      <c r="T157" s="485">
        <v>63</v>
      </c>
      <c r="U157" s="842" t="str">
        <f>INT(T157/16)&amp;" lb  "&amp;FIXED(T157-16*INT(T157/16),1)&amp;" oz"</f>
        <v>3 lb  15.0 oz</v>
      </c>
      <c r="V157" s="843"/>
      <c r="W157" s="843"/>
      <c r="X157" s="843"/>
      <c r="Y157" s="628"/>
      <c r="Z157" s="606"/>
      <c r="AA157" s="606"/>
      <c r="AB157" s="125"/>
      <c r="AC157" s="125"/>
      <c r="AD157" s="125"/>
      <c r="AE157" s="125"/>
      <c r="AF157" s="125"/>
      <c r="AG157" s="125"/>
      <c r="AH157" s="125"/>
      <c r="AI157" s="125"/>
      <c r="AJ157" s="125"/>
      <c r="AK157" s="125"/>
      <c r="AL157" s="125"/>
      <c r="AM157" s="125"/>
      <c r="AN157" s="125"/>
      <c r="AO157" s="125"/>
      <c r="AP157" s="125"/>
      <c r="AQ157" s="125"/>
      <c r="AR157" s="125"/>
      <c r="AS157" s="125"/>
      <c r="AT157" s="125"/>
      <c r="AU157" s="125"/>
      <c r="AV157" s="125"/>
      <c r="AW157" s="125"/>
      <c r="AX157" s="125"/>
      <c r="AY157" s="125"/>
      <c r="AZ157" s="125"/>
      <c r="BA157" s="828"/>
    </row>
    <row r="158" spans="1:53">
      <c r="A158" s="868"/>
      <c r="B158" s="142"/>
      <c r="C158" s="142"/>
      <c r="D158" s="857" t="s">
        <v>104</v>
      </c>
      <c r="E158" s="1463" t="str">
        <f>FIXED((E157-F157)/(7.7537-0.003742*(E157-1000)),1)&amp;"%"</f>
        <v>10.7%</v>
      </c>
      <c r="F158" s="1464"/>
      <c r="G158" s="142"/>
      <c r="H158" s="142"/>
      <c r="I158" s="142"/>
      <c r="J158" s="142"/>
      <c r="K158" s="142"/>
      <c r="L158" s="142"/>
      <c r="M158" s="142"/>
      <c r="N158" s="142"/>
      <c r="O158" s="142"/>
      <c r="P158" s="142"/>
      <c r="Q158" s="142"/>
      <c r="R158" s="142"/>
      <c r="S158" s="142"/>
      <c r="T158" s="142"/>
      <c r="U158" s="142"/>
      <c r="V158" s="843"/>
      <c r="W158" s="843"/>
      <c r="X158" s="843"/>
      <c r="Y158" s="628"/>
      <c r="Z158" s="606"/>
      <c r="AA158" s="606"/>
      <c r="AB158" s="125"/>
      <c r="AC158" s="125"/>
      <c r="AD158" s="125"/>
      <c r="AE158" s="125"/>
      <c r="AF158" s="125"/>
      <c r="AG158" s="125"/>
      <c r="AH158" s="125"/>
      <c r="AI158" s="125"/>
      <c r="AJ158" s="125"/>
      <c r="AK158" s="125"/>
      <c r="AL158" s="125"/>
      <c r="AM158" s="125"/>
      <c r="AN158" s="125"/>
      <c r="AO158" s="125"/>
      <c r="AP158" s="125"/>
      <c r="AQ158" s="125"/>
      <c r="AR158" s="125"/>
      <c r="AS158" s="125"/>
      <c r="AT158" s="125"/>
      <c r="AU158" s="125"/>
      <c r="AV158" s="125"/>
      <c r="AW158" s="125"/>
      <c r="AX158" s="125"/>
      <c r="AY158" s="125"/>
      <c r="AZ158" s="125"/>
      <c r="BA158" s="828"/>
    </row>
    <row r="159" spans="1:53">
      <c r="A159" s="854"/>
      <c r="B159" s="843"/>
      <c r="C159" s="843"/>
      <c r="D159" s="843"/>
      <c r="E159" s="843"/>
      <c r="F159" s="843"/>
      <c r="G159" s="843"/>
      <c r="H159" s="843"/>
      <c r="I159" s="843"/>
      <c r="J159" s="843"/>
      <c r="K159" s="843"/>
      <c r="L159" s="843"/>
      <c r="M159" s="843"/>
      <c r="N159" s="843"/>
      <c r="O159" s="843"/>
      <c r="P159" s="843"/>
      <c r="Q159" s="843"/>
      <c r="R159" s="843"/>
      <c r="S159" s="843"/>
      <c r="T159" s="843"/>
      <c r="U159" s="843"/>
      <c r="V159" s="843"/>
      <c r="W159" s="843"/>
      <c r="X159" s="843"/>
      <c r="Y159" s="628"/>
      <c r="Z159" s="606"/>
      <c r="AA159" s="606"/>
      <c r="AB159" s="125"/>
      <c r="AC159" s="125"/>
      <c r="AD159" s="125"/>
      <c r="AE159" s="125"/>
      <c r="AF159" s="125"/>
      <c r="AG159" s="125"/>
      <c r="AH159" s="125"/>
      <c r="AI159" s="125"/>
      <c r="AJ159" s="125"/>
      <c r="AK159" s="125"/>
      <c r="AL159" s="125"/>
      <c r="AM159" s="125"/>
      <c r="AN159" s="125"/>
      <c r="AO159" s="125"/>
      <c r="AP159" s="125"/>
      <c r="AQ159" s="125"/>
      <c r="AR159" s="125"/>
      <c r="AS159" s="125"/>
      <c r="AT159" s="125"/>
      <c r="AU159" s="125"/>
      <c r="AV159" s="125"/>
      <c r="AW159" s="125"/>
      <c r="AX159" s="125"/>
      <c r="AY159" s="125"/>
      <c r="AZ159" s="125"/>
      <c r="BA159" s="828"/>
    </row>
    <row r="160" spans="1:53">
      <c r="A160" s="1465" t="s">
        <v>635</v>
      </c>
      <c r="B160" s="1465"/>
      <c r="C160" s="843"/>
      <c r="D160" s="843"/>
      <c r="E160" s="843"/>
      <c r="F160" s="843"/>
      <c r="G160" s="843"/>
      <c r="H160" s="843"/>
      <c r="I160" s="843"/>
      <c r="J160" s="843"/>
      <c r="K160" s="843"/>
      <c r="L160" s="843"/>
      <c r="M160" s="843"/>
      <c r="N160" s="843"/>
      <c r="O160" s="843"/>
      <c r="P160" s="843"/>
      <c r="Q160" s="843"/>
      <c r="R160" s="843"/>
      <c r="S160" s="1465" t="s">
        <v>636</v>
      </c>
      <c r="T160" s="1465"/>
      <c r="U160" s="1465"/>
      <c r="V160" s="843"/>
      <c r="W160" s="843"/>
      <c r="X160" s="843"/>
      <c r="Y160" s="628"/>
      <c r="Z160" s="606"/>
      <c r="AA160" s="606"/>
      <c r="AB160" s="606"/>
      <c r="AC160" s="606"/>
      <c r="AD160" s="606"/>
      <c r="AE160" s="606"/>
      <c r="AF160" s="606"/>
      <c r="AG160" s="606"/>
      <c r="AH160" s="125"/>
      <c r="AI160" s="125"/>
      <c r="AJ160" s="125"/>
      <c r="AK160" s="125"/>
      <c r="AL160" s="125"/>
      <c r="AM160" s="125"/>
      <c r="AN160" s="125"/>
      <c r="AO160" s="125"/>
      <c r="AP160" s="125"/>
      <c r="AQ160" s="125"/>
      <c r="AR160" s="125"/>
      <c r="AS160" s="125"/>
      <c r="AT160" s="125"/>
      <c r="AU160" s="125"/>
      <c r="AV160" s="125"/>
      <c r="AW160" s="125"/>
      <c r="AX160" s="125"/>
      <c r="AY160" s="125"/>
      <c r="AZ160" s="125"/>
      <c r="BA160" s="828"/>
    </row>
    <row r="161" spans="1:53">
      <c r="A161" s="868"/>
      <c r="B161" s="843"/>
      <c r="C161" s="843"/>
      <c r="D161" s="843"/>
      <c r="E161" s="843"/>
      <c r="F161" s="843"/>
      <c r="G161" s="843"/>
      <c r="H161" s="843"/>
      <c r="I161" s="843"/>
      <c r="J161" s="843"/>
      <c r="K161" s="843"/>
      <c r="L161" s="843"/>
      <c r="M161" s="843"/>
      <c r="N161" s="843"/>
      <c r="O161" s="843"/>
      <c r="P161" s="843"/>
      <c r="Q161" s="843"/>
      <c r="R161" s="843"/>
      <c r="S161" s="1466" t="s">
        <v>637</v>
      </c>
      <c r="T161" s="1466"/>
      <c r="U161" s="1466"/>
      <c r="V161" s="1466"/>
      <c r="W161" s="1466"/>
      <c r="X161" s="843"/>
      <c r="Y161" s="628"/>
      <c r="Z161" s="606"/>
      <c r="AA161" s="606"/>
      <c r="AB161" s="606"/>
      <c r="AC161" s="606"/>
      <c r="AD161" s="606"/>
      <c r="AE161" s="606"/>
      <c r="AF161" s="606"/>
      <c r="AG161" s="606"/>
      <c r="AH161" s="125"/>
      <c r="AI161" s="125"/>
      <c r="AJ161" s="125"/>
      <c r="AK161" s="125"/>
      <c r="AL161" s="125"/>
      <c r="AM161" s="125"/>
      <c r="AN161" s="125"/>
      <c r="AO161" s="125"/>
      <c r="AP161" s="125"/>
      <c r="AQ161" s="125"/>
      <c r="AR161" s="125"/>
      <c r="AS161" s="125"/>
      <c r="AT161" s="125"/>
      <c r="AU161" s="125"/>
      <c r="AV161" s="125"/>
      <c r="AW161" s="125"/>
      <c r="AX161" s="125"/>
      <c r="AY161" s="125"/>
      <c r="AZ161" s="125"/>
      <c r="BA161" s="828"/>
    </row>
    <row r="162" spans="1:53">
      <c r="A162" s="868"/>
      <c r="B162" s="843"/>
      <c r="C162" s="843"/>
      <c r="D162" s="843"/>
      <c r="E162" s="843"/>
      <c r="F162" s="843"/>
      <c r="G162" s="843"/>
      <c r="H162" s="843"/>
      <c r="I162" s="843"/>
      <c r="J162" s="843"/>
      <c r="K162" s="843"/>
      <c r="L162" s="843"/>
      <c r="M162" s="843"/>
      <c r="N162" s="843"/>
      <c r="O162" s="926"/>
      <c r="P162" s="926"/>
      <c r="Q162" s="926"/>
      <c r="R162" s="926"/>
      <c r="S162" s="1466"/>
      <c r="T162" s="1466"/>
      <c r="U162" s="1466"/>
      <c r="V162" s="1466"/>
      <c r="W162" s="1466"/>
      <c r="X162" s="843"/>
      <c r="Y162" s="628"/>
      <c r="Z162" s="606"/>
      <c r="AA162" s="606"/>
      <c r="AB162" s="606"/>
      <c r="AC162" s="606"/>
      <c r="AD162" s="606"/>
      <c r="AE162" s="606"/>
      <c r="AF162" s="606"/>
      <c r="AG162" s="606"/>
      <c r="AH162" s="125"/>
      <c r="AI162" s="125"/>
      <c r="AJ162" s="125"/>
      <c r="AK162" s="125"/>
      <c r="AL162" s="125"/>
      <c r="AM162" s="125"/>
      <c r="AN162" s="125"/>
      <c r="AO162" s="125"/>
      <c r="AP162" s="125"/>
      <c r="AQ162" s="125"/>
      <c r="AR162" s="125"/>
      <c r="AS162" s="125"/>
      <c r="AT162" s="125"/>
      <c r="AU162" s="125"/>
      <c r="AV162" s="125"/>
      <c r="AW162" s="125"/>
      <c r="AX162" s="125"/>
      <c r="AY162" s="125"/>
      <c r="AZ162" s="125"/>
      <c r="BA162" s="828"/>
    </row>
    <row r="163" spans="1:53">
      <c r="A163" s="868"/>
      <c r="B163" s="843"/>
      <c r="C163" s="843"/>
      <c r="D163" s="843"/>
      <c r="E163" s="843"/>
      <c r="F163" s="843"/>
      <c r="G163" s="843"/>
      <c r="H163" s="843"/>
      <c r="I163" s="843"/>
      <c r="J163" s="843"/>
      <c r="K163" s="843"/>
      <c r="L163" s="843"/>
      <c r="M163" s="843"/>
      <c r="N163" s="843"/>
      <c r="O163" s="926"/>
      <c r="P163" s="926"/>
      <c r="Q163" s="926"/>
      <c r="R163" s="926"/>
      <c r="S163" s="868"/>
      <c r="T163" s="868"/>
      <c r="U163" s="868"/>
      <c r="V163" s="868"/>
      <c r="W163" s="868"/>
      <c r="X163" s="843"/>
      <c r="Y163" s="628"/>
      <c r="Z163" s="606"/>
      <c r="AA163" s="606"/>
      <c r="AB163" s="606"/>
      <c r="AC163" s="606"/>
      <c r="AD163" s="606"/>
      <c r="AE163" s="606"/>
      <c r="AF163" s="606"/>
      <c r="AG163" s="606"/>
      <c r="AH163" s="125"/>
      <c r="AI163" s="125"/>
      <c r="AJ163" s="125"/>
      <c r="AK163" s="125"/>
      <c r="AL163" s="125"/>
      <c r="AM163" s="125"/>
      <c r="AN163" s="125"/>
      <c r="AO163" s="125"/>
      <c r="AP163" s="125"/>
      <c r="AQ163" s="125"/>
      <c r="AR163" s="125"/>
      <c r="AS163" s="125"/>
      <c r="AT163" s="125"/>
      <c r="AU163" s="125"/>
      <c r="AV163" s="125"/>
      <c r="AW163" s="125"/>
      <c r="AX163" s="125"/>
      <c r="AY163" s="125"/>
      <c r="AZ163" s="125"/>
      <c r="BA163" s="828"/>
    </row>
    <row r="164" spans="1:53">
      <c r="A164" s="868"/>
      <c r="B164" s="843"/>
      <c r="C164" s="843"/>
      <c r="D164" s="843"/>
      <c r="E164" s="843"/>
      <c r="F164" s="843"/>
      <c r="G164" s="843"/>
      <c r="H164" s="843"/>
      <c r="I164" s="843"/>
      <c r="J164" s="843"/>
      <c r="K164" s="843"/>
      <c r="L164" s="843"/>
      <c r="M164" s="843"/>
      <c r="N164" s="843"/>
      <c r="O164" s="926"/>
      <c r="P164" s="926"/>
      <c r="Q164" s="926"/>
      <c r="R164" s="926"/>
      <c r="S164" s="1467" t="s">
        <v>638</v>
      </c>
      <c r="T164" s="1467"/>
      <c r="U164" s="383">
        <f>L60</f>
        <v>4.8</v>
      </c>
      <c r="V164" s="1468" t="s">
        <v>639</v>
      </c>
      <c r="W164" s="1468"/>
      <c r="X164" s="843"/>
      <c r="Y164" s="628"/>
      <c r="Z164" s="606"/>
      <c r="AA164" s="606"/>
      <c r="AB164" s="606"/>
      <c r="AC164" s="606"/>
      <c r="AD164" s="606"/>
      <c r="AE164" s="606"/>
      <c r="AF164" s="606"/>
      <c r="AG164" s="606"/>
      <c r="AH164" s="125"/>
      <c r="AI164" s="125"/>
      <c r="AJ164" s="125"/>
      <c r="AK164" s="125"/>
      <c r="AL164" s="125"/>
      <c r="AM164" s="125"/>
      <c r="AN164" s="125"/>
      <c r="AO164" s="125"/>
      <c r="AP164" s="125"/>
      <c r="AQ164" s="125"/>
      <c r="AR164" s="125"/>
      <c r="AS164" s="125"/>
      <c r="AT164" s="125"/>
      <c r="AU164" s="125"/>
      <c r="AV164" s="125"/>
      <c r="AW164" s="125"/>
      <c r="AX164" s="125"/>
      <c r="AY164" s="125"/>
      <c r="AZ164" s="125"/>
      <c r="BA164" s="828"/>
    </row>
    <row r="165" spans="1:53">
      <c r="A165" s="868"/>
      <c r="B165" s="843"/>
      <c r="C165" s="843"/>
      <c r="D165" s="843"/>
      <c r="E165" s="843"/>
      <c r="F165" s="843"/>
      <c r="G165" s="843"/>
      <c r="H165" s="843"/>
      <c r="I165" s="843"/>
      <c r="J165" s="843"/>
      <c r="K165" s="843"/>
      <c r="L165" s="843"/>
      <c r="M165" s="843"/>
      <c r="N165" s="843"/>
      <c r="O165" s="926"/>
      <c r="P165" s="927" t="s">
        <v>114</v>
      </c>
      <c r="Q165" s="928">
        <f>89.6/342</f>
        <v>0.26198830409356721</v>
      </c>
      <c r="R165" s="929"/>
      <c r="S165" s="1288" t="s">
        <v>640</v>
      </c>
      <c r="T165" s="1288"/>
      <c r="U165" s="383">
        <f>L62</f>
        <v>4.5</v>
      </c>
      <c r="V165" s="1310" t="s">
        <v>641</v>
      </c>
      <c r="W165" s="1310"/>
      <c r="X165" s="843"/>
      <c r="Y165" s="628"/>
      <c r="Z165" s="606"/>
      <c r="AA165" s="606"/>
      <c r="AB165" s="606"/>
      <c r="AC165" s="606"/>
      <c r="AD165" s="606"/>
      <c r="AE165" s="606"/>
      <c r="AF165" s="606"/>
      <c r="AG165" s="606"/>
      <c r="AH165" s="125"/>
      <c r="AI165" s="125"/>
      <c r="AJ165" s="125"/>
      <c r="AK165" s="125"/>
      <c r="AL165" s="125"/>
      <c r="AM165" s="125"/>
      <c r="AN165" s="125"/>
      <c r="AO165" s="125"/>
      <c r="AP165" s="125"/>
      <c r="AQ165" s="125"/>
      <c r="AR165" s="125"/>
      <c r="AS165" s="125"/>
      <c r="AT165" s="125"/>
      <c r="AU165" s="125"/>
      <c r="AV165" s="125"/>
      <c r="AW165" s="125"/>
      <c r="AX165" s="125"/>
      <c r="AY165" s="125"/>
      <c r="AZ165" s="125"/>
      <c r="BA165" s="828"/>
    </row>
    <row r="166" spans="1:53">
      <c r="A166" s="868"/>
      <c r="B166" s="843"/>
      <c r="C166" s="843"/>
      <c r="D166" s="843"/>
      <c r="E166" s="843"/>
      <c r="F166" s="843"/>
      <c r="G166" s="843"/>
      <c r="H166" s="843"/>
      <c r="I166" s="843"/>
      <c r="J166" s="843"/>
      <c r="K166" s="843"/>
      <c r="L166" s="843"/>
      <c r="M166" s="843"/>
      <c r="N166" s="843"/>
      <c r="O166" s="926"/>
      <c r="P166" s="640" t="s">
        <v>513</v>
      </c>
      <c r="Q166" s="930" t="s">
        <v>115</v>
      </c>
      <c r="R166" s="929"/>
      <c r="S166" s="843"/>
      <c r="T166" s="1450" t="s">
        <v>100</v>
      </c>
      <c r="U166" s="1450" t="s">
        <v>101</v>
      </c>
      <c r="V166" s="1448" t="str">
        <f>"`Sugar` for "&amp;FIXED(U164)&amp;" ̸ "&amp;U165&amp;" litres."</f>
        <v>`Sugar` for 4.80 ̸ 4.5 litres.</v>
      </c>
      <c r="W166" s="1449"/>
      <c r="X166" s="843"/>
      <c r="Y166" s="628"/>
      <c r="Z166" s="606"/>
      <c r="AA166" s="606"/>
      <c r="AB166" s="606"/>
      <c r="AC166" s="606"/>
      <c r="AD166" s="606"/>
      <c r="AE166" s="606"/>
      <c r="AF166" s="606"/>
      <c r="AG166" s="606"/>
      <c r="AH166" s="125"/>
      <c r="AI166" s="125"/>
      <c r="AJ166" s="125"/>
      <c r="AK166" s="125"/>
      <c r="AL166" s="125"/>
      <c r="AM166" s="125"/>
      <c r="AN166" s="125"/>
      <c r="AO166" s="125"/>
      <c r="AP166" s="125"/>
      <c r="AQ166" s="125"/>
      <c r="AR166" s="125"/>
      <c r="AS166" s="125"/>
      <c r="AT166" s="125"/>
      <c r="AU166" s="125"/>
      <c r="AV166" s="125"/>
      <c r="AW166" s="125"/>
      <c r="AX166" s="125"/>
      <c r="AY166" s="125"/>
      <c r="AZ166" s="125"/>
      <c r="BA166" s="828"/>
    </row>
    <row r="167" spans="1:53">
      <c r="A167" s="868"/>
      <c r="B167" s="843"/>
      <c r="C167" s="843"/>
      <c r="D167" s="843"/>
      <c r="E167" s="843"/>
      <c r="F167" s="843"/>
      <c r="G167" s="843"/>
      <c r="H167" s="843"/>
      <c r="I167" s="843"/>
      <c r="J167" s="843"/>
      <c r="K167" s="843"/>
      <c r="L167" s="843"/>
      <c r="M167" s="843"/>
      <c r="N167" s="843"/>
      <c r="O167" s="926"/>
      <c r="P167" s="640" t="s">
        <v>87</v>
      </c>
      <c r="Q167" s="641" t="s">
        <v>120</v>
      </c>
      <c r="R167" s="929"/>
      <c r="S167" s="843"/>
      <c r="T167" s="1451"/>
      <c r="U167" s="1451"/>
      <c r="V167" s="386" t="s">
        <v>642</v>
      </c>
      <c r="W167" s="384" t="s">
        <v>643</v>
      </c>
      <c r="X167" s="843"/>
      <c r="Y167" s="628"/>
      <c r="Z167" s="606"/>
      <c r="AA167" s="606"/>
      <c r="AB167" s="606"/>
      <c r="AC167" s="606"/>
      <c r="AD167" s="606"/>
      <c r="AE167" s="606"/>
      <c r="AF167" s="606"/>
      <c r="AG167" s="606"/>
      <c r="AH167" s="125"/>
      <c r="AI167" s="125"/>
      <c r="AJ167" s="125"/>
      <c r="AK167" s="125"/>
      <c r="AL167" s="125"/>
      <c r="AM167" s="125"/>
      <c r="AN167" s="125"/>
      <c r="AO167" s="125"/>
      <c r="AP167" s="125"/>
      <c r="AQ167" s="125"/>
      <c r="AR167" s="125"/>
      <c r="AS167" s="125"/>
      <c r="AT167" s="125"/>
      <c r="AU167" s="125"/>
      <c r="AV167" s="125"/>
      <c r="AW167" s="125"/>
      <c r="AX167" s="125"/>
      <c r="AY167" s="125"/>
      <c r="AZ167" s="125"/>
      <c r="BA167" s="828"/>
    </row>
    <row r="168" spans="1:53">
      <c r="A168" s="868"/>
      <c r="B168" s="843"/>
      <c r="C168" s="843"/>
      <c r="D168" s="843"/>
      <c r="E168" s="843"/>
      <c r="F168" s="843"/>
      <c r="G168" s="843"/>
      <c r="H168" s="843"/>
      <c r="I168" s="843"/>
      <c r="J168" s="843"/>
      <c r="K168" s="843"/>
      <c r="L168" s="843"/>
      <c r="M168" s="843"/>
      <c r="N168" s="843"/>
      <c r="O168" s="926"/>
      <c r="P168" s="931">
        <v>0</v>
      </c>
      <c r="Q168" s="932">
        <v>1.7130000000000001</v>
      </c>
      <c r="R168" s="933"/>
      <c r="S168" s="843"/>
      <c r="T168" s="382">
        <v>1000</v>
      </c>
      <c r="U168" s="380">
        <v>1000</v>
      </c>
      <c r="V168" s="410" t="s">
        <v>644</v>
      </c>
      <c r="W168" s="382">
        <v>0</v>
      </c>
      <c r="X168" s="637"/>
      <c r="Y168" s="628"/>
      <c r="Z168" s="606"/>
      <c r="AA168" s="216"/>
      <c r="AB168" s="216"/>
      <c r="AC168" s="216"/>
      <c r="AD168" s="216"/>
      <c r="AE168" s="216"/>
      <c r="AF168" s="216"/>
      <c r="AG168" s="606"/>
      <c r="AH168" s="125"/>
      <c r="AI168" s="125"/>
      <c r="AJ168" s="125"/>
      <c r="AK168" s="125"/>
      <c r="AL168" s="125"/>
      <c r="AM168" s="125"/>
      <c r="AN168" s="125"/>
      <c r="AO168" s="125"/>
      <c r="AP168" s="125"/>
      <c r="AQ168" s="125"/>
      <c r="AR168" s="125"/>
      <c r="AS168" s="125"/>
      <c r="AT168" s="125"/>
      <c r="AU168" s="125"/>
      <c r="AV168" s="125"/>
      <c r="AW168" s="125"/>
      <c r="AX168" s="125"/>
      <c r="AY168" s="125"/>
      <c r="AZ168" s="125"/>
      <c r="BA168" s="828"/>
    </row>
    <row r="169" spans="1:53">
      <c r="A169" s="868"/>
      <c r="B169" s="843"/>
      <c r="C169" s="843"/>
      <c r="D169" s="843"/>
      <c r="E169" s="843"/>
      <c r="F169" s="843"/>
      <c r="G169" s="843"/>
      <c r="H169" s="843"/>
      <c r="I169" s="843"/>
      <c r="J169" s="843"/>
      <c r="K169" s="843"/>
      <c r="L169" s="843"/>
      <c r="M169" s="843"/>
      <c r="N169" s="843"/>
      <c r="O169" s="926"/>
      <c r="P169" s="931">
        <v>1</v>
      </c>
      <c r="Q169" s="932">
        <v>1.6459999999999999</v>
      </c>
      <c r="R169" s="933"/>
      <c r="S169" s="843"/>
      <c r="T169" s="977">
        <v>1001</v>
      </c>
      <c r="U169" s="32">
        <v>999.9</v>
      </c>
      <c r="V169" s="410" t="str">
        <f>1*FIXED(((U$164/4.5)*X169),1)&amp;" ̸ "&amp;1*FIXED(((U$165/4.5)*X169),1)&amp;"g"</f>
        <v>12.8 ̸ 12g</v>
      </c>
      <c r="W169" s="1034">
        <f t="shared" ref="W169:W207" si="98">(T169-U169)/(7.75-3*(T169-1000)/800)</f>
        <v>0.14200419557850866</v>
      </c>
      <c r="X169" s="638">
        <v>12</v>
      </c>
      <c r="Y169" s="628"/>
      <c r="Z169" s="606"/>
      <c r="AA169" s="216"/>
      <c r="AB169" s="216"/>
      <c r="AC169" s="216"/>
      <c r="AD169" s="216"/>
      <c r="AE169" s="216"/>
      <c r="AF169" s="216"/>
      <c r="AG169" s="606"/>
      <c r="AH169" s="125"/>
      <c r="AI169" s="125"/>
      <c r="AJ169" s="125"/>
      <c r="AK169" s="125"/>
      <c r="AL169" s="125"/>
      <c r="AM169" s="125"/>
      <c r="AN169" s="125"/>
      <c r="AO169" s="125"/>
      <c r="AP169" s="125"/>
      <c r="AQ169" s="125"/>
      <c r="AR169" s="125"/>
      <c r="AS169" s="125"/>
      <c r="AT169" s="125"/>
      <c r="AU169" s="125"/>
      <c r="AV169" s="125"/>
      <c r="AW169" s="125"/>
      <c r="AX169" s="125"/>
      <c r="AY169" s="125"/>
      <c r="AZ169" s="125"/>
      <c r="BA169" s="828"/>
    </row>
    <row r="170" spans="1:53">
      <c r="A170" s="868"/>
      <c r="B170" s="843"/>
      <c r="C170" s="843"/>
      <c r="D170" s="843"/>
      <c r="E170" s="843"/>
      <c r="F170" s="843"/>
      <c r="G170" s="843"/>
      <c r="H170" s="843"/>
      <c r="I170" s="843"/>
      <c r="J170" s="843"/>
      <c r="K170" s="843"/>
      <c r="L170" s="843"/>
      <c r="M170" s="843"/>
      <c r="N170" s="843"/>
      <c r="O170" s="926"/>
      <c r="P170" s="931">
        <v>2</v>
      </c>
      <c r="Q170" s="932">
        <v>1.5840000000000001</v>
      </c>
      <c r="R170" s="933"/>
      <c r="S170" s="843"/>
      <c r="T170" s="977">
        <v>1002</v>
      </c>
      <c r="U170" s="32">
        <v>999.8</v>
      </c>
      <c r="V170" s="410" t="str">
        <f t="shared" ref="V170:V175" si="99">1*FIXED(((U$164/4.5)*X170),1)&amp;" ̸ "&amp;1*FIXED(((U$165/4.5)*X170),1)&amp;"g"</f>
        <v>25.6 ̸ 24g</v>
      </c>
      <c r="W170" s="1034">
        <f t="shared" si="98"/>
        <v>0.28414594769132007</v>
      </c>
      <c r="X170" s="638">
        <v>24</v>
      </c>
      <c r="Y170" s="628"/>
      <c r="Z170" s="606"/>
      <c r="AA170" s="216"/>
      <c r="AB170" s="216"/>
      <c r="AC170" s="216"/>
      <c r="AD170" s="216"/>
      <c r="AE170" s="216"/>
      <c r="AF170" s="216"/>
      <c r="AG170" s="606"/>
      <c r="AH170" s="125"/>
      <c r="AI170" s="125"/>
      <c r="AJ170" s="125"/>
      <c r="AK170" s="125"/>
      <c r="AL170" s="125"/>
      <c r="AM170" s="125"/>
      <c r="AN170" s="125"/>
      <c r="AO170" s="125"/>
      <c r="AP170" s="125"/>
      <c r="AQ170" s="125"/>
      <c r="AR170" s="125"/>
      <c r="AS170" s="125"/>
      <c r="AT170" s="125"/>
      <c r="AU170" s="125"/>
      <c r="AV170" s="125"/>
      <c r="AW170" s="125"/>
      <c r="AX170" s="125"/>
      <c r="AY170" s="125"/>
      <c r="AZ170" s="125"/>
      <c r="BA170" s="828"/>
    </row>
    <row r="171" spans="1:53">
      <c r="A171" s="868"/>
      <c r="B171" s="843"/>
      <c r="C171" s="843"/>
      <c r="D171" s="843"/>
      <c r="E171" s="843"/>
      <c r="F171" s="843"/>
      <c r="G171" s="843"/>
      <c r="H171" s="843"/>
      <c r="I171" s="843"/>
      <c r="J171" s="843"/>
      <c r="K171" s="843"/>
      <c r="L171" s="843"/>
      <c r="M171" s="843"/>
      <c r="N171" s="843"/>
      <c r="O171" s="926"/>
      <c r="P171" s="931">
        <v>3</v>
      </c>
      <c r="Q171" s="932">
        <v>1.53</v>
      </c>
      <c r="R171" s="933"/>
      <c r="S171" s="843"/>
      <c r="T171" s="977">
        <v>1003</v>
      </c>
      <c r="U171" s="32">
        <v>999.8</v>
      </c>
      <c r="V171" s="410" t="str">
        <f>1*FIXED(((U$164/4.5)*X171),1)&amp;" ̸ "&amp;1*FIXED(((U$165/4.5)*X171),1)&amp;"g"</f>
        <v>38.4 ̸ 36g</v>
      </c>
      <c r="W171" s="1034">
        <f t="shared" si="98"/>
        <v>0.41350347278307809</v>
      </c>
      <c r="X171" s="638">
        <v>36</v>
      </c>
      <c r="Y171" s="628"/>
      <c r="AA171" s="216"/>
      <c r="AB171" s="216"/>
      <c r="AC171" s="216"/>
      <c r="AD171" s="216"/>
      <c r="AE171" s="216"/>
      <c r="AF171" s="216"/>
      <c r="AG171" s="606"/>
      <c r="AH171" s="125"/>
      <c r="AI171" s="125"/>
      <c r="AJ171" s="125"/>
      <c r="AK171" s="125"/>
      <c r="AL171" s="125"/>
      <c r="AM171" s="125"/>
      <c r="AN171" s="125"/>
      <c r="AO171" s="125"/>
      <c r="AP171" s="125"/>
      <c r="AQ171" s="125"/>
      <c r="AR171" s="125"/>
      <c r="AS171" s="125"/>
      <c r="AT171" s="125"/>
      <c r="AU171" s="125"/>
      <c r="AV171" s="125"/>
      <c r="AW171" s="125"/>
      <c r="AX171" s="125"/>
      <c r="AY171" s="125"/>
      <c r="AZ171" s="125"/>
      <c r="BA171" s="828"/>
    </row>
    <row r="172" spans="1:53">
      <c r="A172" s="868"/>
      <c r="B172" s="843"/>
      <c r="C172" s="843"/>
      <c r="D172" s="843"/>
      <c r="E172" s="843"/>
      <c r="F172" s="843"/>
      <c r="G172" s="843"/>
      <c r="H172" s="843"/>
      <c r="I172" s="843"/>
      <c r="J172" s="843"/>
      <c r="K172" s="843"/>
      <c r="L172" s="843"/>
      <c r="M172" s="843"/>
      <c r="N172" s="843"/>
      <c r="O172" s="926"/>
      <c r="P172" s="931">
        <v>4</v>
      </c>
      <c r="Q172" s="932">
        <v>1.4730000000000001</v>
      </c>
      <c r="R172" s="933"/>
      <c r="S172" s="843"/>
      <c r="T172" s="977">
        <v>1004</v>
      </c>
      <c r="U172" s="32">
        <v>999.7</v>
      </c>
      <c r="V172" s="410" t="str">
        <f t="shared" si="99"/>
        <v>51.2 ̸ 48g</v>
      </c>
      <c r="W172" s="1034">
        <f t="shared" si="98"/>
        <v>0.55591467356172652</v>
      </c>
      <c r="X172" s="638">
        <v>48</v>
      </c>
      <c r="Y172" s="628"/>
      <c r="AA172" s="216"/>
      <c r="AB172" s="216"/>
      <c r="AC172" s="216"/>
      <c r="AD172" s="216"/>
      <c r="AE172" s="216"/>
      <c r="AF172" s="216"/>
      <c r="AG172" s="606"/>
      <c r="AH172" s="125"/>
      <c r="AI172" s="125"/>
      <c r="AJ172" s="125"/>
      <c r="AK172" s="125"/>
      <c r="AL172" s="125"/>
      <c r="AM172" s="125"/>
      <c r="AN172" s="125"/>
      <c r="AO172" s="125"/>
      <c r="AP172" s="125"/>
      <c r="AQ172" s="125"/>
      <c r="AR172" s="125"/>
      <c r="AS172" s="125"/>
      <c r="AT172" s="125"/>
      <c r="AU172" s="125"/>
      <c r="AV172" s="125"/>
      <c r="AW172" s="125"/>
      <c r="AX172" s="125"/>
      <c r="AY172" s="125"/>
      <c r="AZ172" s="125"/>
      <c r="BA172" s="828"/>
    </row>
    <row r="173" spans="1:53">
      <c r="A173" s="868"/>
      <c r="B173" s="843"/>
      <c r="C173" s="843"/>
      <c r="D173" s="843"/>
      <c r="E173" s="843"/>
      <c r="F173" s="843"/>
      <c r="G173" s="843"/>
      <c r="H173" s="843"/>
      <c r="I173" s="843"/>
      <c r="J173" s="843"/>
      <c r="K173" s="843"/>
      <c r="L173" s="843"/>
      <c r="M173" s="843"/>
      <c r="N173" s="843"/>
      <c r="O173" s="926"/>
      <c r="P173" s="931">
        <v>5</v>
      </c>
      <c r="Q173" s="932">
        <v>1.4239999999999999</v>
      </c>
      <c r="R173" s="933"/>
      <c r="S173" s="843"/>
      <c r="T173" s="977">
        <v>1005</v>
      </c>
      <c r="U173" s="32">
        <v>999.6</v>
      </c>
      <c r="V173" s="410" t="str">
        <f t="shared" si="99"/>
        <v>64 ̸ 60g</v>
      </c>
      <c r="W173" s="1034">
        <f t="shared" si="98"/>
        <v>0.698464025869035</v>
      </c>
      <c r="X173" s="638">
        <v>60</v>
      </c>
      <c r="Y173" s="628"/>
      <c r="AA173" s="216"/>
      <c r="AB173" s="216"/>
      <c r="AC173" s="216"/>
      <c r="AD173" s="216"/>
      <c r="AE173" s="216"/>
      <c r="AF173" s="216"/>
      <c r="AG173" s="606"/>
      <c r="AH173" s="125"/>
      <c r="AI173" s="125"/>
      <c r="AJ173" s="125"/>
      <c r="AK173" s="125"/>
      <c r="AL173" s="125"/>
      <c r="AM173" s="125"/>
      <c r="AN173" s="125"/>
      <c r="AO173" s="125"/>
      <c r="AP173" s="125"/>
      <c r="AQ173" s="125"/>
      <c r="AR173" s="125"/>
      <c r="AS173" s="125"/>
      <c r="AT173" s="125"/>
      <c r="AU173" s="125"/>
      <c r="AV173" s="125"/>
      <c r="AW173" s="125"/>
      <c r="AX173" s="125"/>
      <c r="AY173" s="125"/>
      <c r="AZ173" s="125"/>
      <c r="BA173" s="828"/>
    </row>
    <row r="174" spans="1:53">
      <c r="A174" s="868"/>
      <c r="B174" s="843"/>
      <c r="C174" s="843"/>
      <c r="D174" s="843"/>
      <c r="E174" s="843"/>
      <c r="F174" s="843"/>
      <c r="G174" s="843"/>
      <c r="H174" s="843"/>
      <c r="I174" s="843"/>
      <c r="J174" s="843"/>
      <c r="K174" s="843"/>
      <c r="L174" s="843"/>
      <c r="M174" s="843"/>
      <c r="N174" s="843"/>
      <c r="O174" s="926"/>
      <c r="P174" s="931">
        <v>6</v>
      </c>
      <c r="Q174" s="932">
        <v>1.377</v>
      </c>
      <c r="R174" s="933"/>
      <c r="S174" s="843"/>
      <c r="T174" s="977">
        <v>1006</v>
      </c>
      <c r="U174" s="32">
        <v>999.5</v>
      </c>
      <c r="V174" s="410" t="str">
        <f t="shared" si="99"/>
        <v>76.8 ̸ 72g</v>
      </c>
      <c r="W174" s="1034">
        <f t="shared" si="98"/>
        <v>0.84115173083144612</v>
      </c>
      <c r="X174" s="638">
        <v>72</v>
      </c>
      <c r="Y174" s="628"/>
      <c r="AA174" s="606"/>
      <c r="AB174" s="606"/>
      <c r="AC174" s="606"/>
      <c r="AD174" s="606"/>
      <c r="AE174" s="606"/>
      <c r="AF174" s="606"/>
      <c r="AG174" s="606"/>
      <c r="AH174" s="125"/>
      <c r="AI174" s="125"/>
      <c r="AJ174" s="125"/>
      <c r="AK174" s="125"/>
      <c r="AL174" s="125"/>
      <c r="AM174" s="125"/>
      <c r="AN174" s="125"/>
      <c r="AO174" s="125"/>
      <c r="AP174" s="125"/>
      <c r="AQ174" s="125"/>
      <c r="AR174" s="125"/>
      <c r="AS174" s="125"/>
      <c r="AT174" s="125"/>
      <c r="AU174" s="125"/>
      <c r="AV174" s="125"/>
      <c r="AW174" s="125"/>
      <c r="AX174" s="125"/>
      <c r="AY174" s="125"/>
      <c r="AZ174" s="125"/>
      <c r="BA174" s="828"/>
    </row>
    <row r="175" spans="1:53">
      <c r="A175" s="868"/>
      <c r="B175" s="843"/>
      <c r="C175" s="843"/>
      <c r="D175" s="843"/>
      <c r="E175" s="843"/>
      <c r="F175" s="843"/>
      <c r="G175" s="843"/>
      <c r="H175" s="843"/>
      <c r="I175" s="843"/>
      <c r="J175" s="843"/>
      <c r="K175" s="843"/>
      <c r="L175" s="843"/>
      <c r="M175" s="843"/>
      <c r="N175" s="843"/>
      <c r="O175" s="926"/>
      <c r="P175" s="931">
        <v>7</v>
      </c>
      <c r="Q175" s="932">
        <v>1.331</v>
      </c>
      <c r="R175" s="933"/>
      <c r="S175" s="843"/>
      <c r="T175" s="977">
        <v>1007</v>
      </c>
      <c r="U175" s="32">
        <v>999.4</v>
      </c>
      <c r="V175" s="410" t="str">
        <f t="shared" si="99"/>
        <v>89.6 ̸ 84g</v>
      </c>
      <c r="W175" s="1034">
        <f t="shared" si="98"/>
        <v>0.98397798996601693</v>
      </c>
      <c r="X175" s="638">
        <v>84</v>
      </c>
      <c r="Y175" s="628"/>
      <c r="AA175" s="606"/>
      <c r="AB175" s="606"/>
      <c r="AC175" s="606"/>
      <c r="AD175" s="606"/>
      <c r="AE175" s="606"/>
      <c r="AF175" s="606"/>
      <c r="AG175" s="606"/>
      <c r="AH175" s="125"/>
      <c r="AI175" s="125"/>
      <c r="AJ175" s="125"/>
      <c r="AK175" s="125"/>
      <c r="AL175" s="125"/>
      <c r="AM175" s="125"/>
      <c r="AN175" s="125"/>
      <c r="AO175" s="125"/>
      <c r="AP175" s="125"/>
      <c r="AQ175" s="125"/>
      <c r="AR175" s="125"/>
      <c r="AS175" s="125"/>
      <c r="AT175" s="125"/>
      <c r="AU175" s="125"/>
      <c r="AV175" s="125"/>
      <c r="AW175" s="125"/>
      <c r="AX175" s="125"/>
      <c r="AY175" s="125"/>
      <c r="AZ175" s="125"/>
      <c r="BA175" s="828"/>
    </row>
    <row r="176" spans="1:53">
      <c r="A176" s="868"/>
      <c r="B176" s="843"/>
      <c r="C176" s="843"/>
      <c r="D176" s="843"/>
      <c r="E176" s="843"/>
      <c r="F176" s="843"/>
      <c r="G176" s="843"/>
      <c r="H176" s="843"/>
      <c r="I176" s="843"/>
      <c r="J176" s="843"/>
      <c r="K176" s="843"/>
      <c r="L176" s="843"/>
      <c r="M176" s="843"/>
      <c r="N176" s="843"/>
      <c r="O176" s="926"/>
      <c r="P176" s="931">
        <v>8</v>
      </c>
      <c r="Q176" s="932">
        <v>1.282</v>
      </c>
      <c r="R176" s="933"/>
      <c r="S176" s="843"/>
      <c r="T176" s="977">
        <v>1008</v>
      </c>
      <c r="U176" s="32">
        <v>999.4</v>
      </c>
      <c r="V176" s="385" t="str">
        <f t="shared" ref="V176:V207" si="100">1*FIXED(((U$164/4.5)*X176),0)&amp;" ̸ "&amp;1*FIXED(((U$165/4.5)*X176),0)&amp;"g"</f>
        <v>102 ̸ 96g</v>
      </c>
      <c r="W176" s="1034">
        <f t="shared" si="98"/>
        <v>1.1139896373057026</v>
      </c>
      <c r="X176" s="638">
        <v>96</v>
      </c>
      <c r="Y176" s="628"/>
      <c r="AA176" s="606"/>
      <c r="AB176" s="606"/>
      <c r="AC176" s="606"/>
      <c r="AD176" s="606"/>
      <c r="AE176" s="606"/>
      <c r="AF176" s="606"/>
      <c r="AG176" s="606"/>
      <c r="AH176" s="125"/>
      <c r="AI176" s="125"/>
      <c r="AJ176" s="125"/>
      <c r="AK176" s="125"/>
      <c r="AL176" s="125"/>
      <c r="AM176" s="125"/>
      <c r="AN176" s="125"/>
      <c r="AO176" s="125"/>
      <c r="AP176" s="125"/>
      <c r="AQ176" s="125"/>
      <c r="AR176" s="125"/>
      <c r="AS176" s="125"/>
      <c r="AT176" s="125"/>
      <c r="AU176" s="125"/>
      <c r="AV176" s="125"/>
      <c r="AW176" s="125"/>
      <c r="AX176" s="125"/>
      <c r="AY176" s="125"/>
      <c r="AZ176" s="125"/>
      <c r="BA176" s="828"/>
    </row>
    <row r="177" spans="1:53">
      <c r="A177" s="868"/>
      <c r="B177" s="843"/>
      <c r="C177" s="843"/>
      <c r="D177" s="843"/>
      <c r="E177" s="843"/>
      <c r="F177" s="843"/>
      <c r="G177" s="843"/>
      <c r="H177" s="843"/>
      <c r="I177" s="843"/>
      <c r="J177" s="843"/>
      <c r="K177" s="843"/>
      <c r="L177" s="843"/>
      <c r="M177" s="843"/>
      <c r="N177" s="843"/>
      <c r="O177" s="926"/>
      <c r="P177" s="931">
        <v>9</v>
      </c>
      <c r="Q177" s="932">
        <v>1.2370000000000001</v>
      </c>
      <c r="R177" s="933"/>
      <c r="S177" s="843"/>
      <c r="T177" s="977">
        <v>1009</v>
      </c>
      <c r="U177" s="32">
        <v>999.3</v>
      </c>
      <c r="V177" s="385" t="str">
        <f t="shared" si="100"/>
        <v>115 ̸ 108g</v>
      </c>
      <c r="W177" s="1034">
        <f t="shared" si="98"/>
        <v>1.257087315729797</v>
      </c>
      <c r="X177" s="638">
        <v>108</v>
      </c>
      <c r="Y177" s="628"/>
      <c r="AA177" s="606"/>
      <c r="AB177" s="606"/>
      <c r="AC177" s="606"/>
      <c r="AD177" s="606"/>
      <c r="AE177" s="606"/>
      <c r="AF177" s="606"/>
      <c r="AG177" s="606"/>
      <c r="AH177" s="125"/>
      <c r="AI177" s="125"/>
      <c r="AJ177" s="125"/>
      <c r="AK177" s="125"/>
      <c r="AL177" s="125"/>
      <c r="AM177" s="125"/>
      <c r="AN177" s="125"/>
      <c r="AO177" s="125"/>
      <c r="AP177" s="125"/>
      <c r="AQ177" s="125"/>
      <c r="AR177" s="125"/>
      <c r="AS177" s="125"/>
      <c r="AT177" s="125"/>
      <c r="AU177" s="125"/>
      <c r="AV177" s="125"/>
      <c r="AW177" s="125"/>
      <c r="AX177" s="125"/>
      <c r="AY177" s="125"/>
      <c r="AZ177" s="125"/>
      <c r="BA177" s="828"/>
    </row>
    <row r="178" spans="1:53">
      <c r="A178" s="868"/>
      <c r="B178" s="843"/>
      <c r="C178" s="843"/>
      <c r="D178" s="843"/>
      <c r="E178" s="843"/>
      <c r="F178" s="843"/>
      <c r="G178" s="843"/>
      <c r="H178" s="843"/>
      <c r="I178" s="843"/>
      <c r="J178" s="843"/>
      <c r="K178" s="843"/>
      <c r="L178" s="843"/>
      <c r="M178" s="843"/>
      <c r="N178" s="843"/>
      <c r="O178" s="926"/>
      <c r="P178" s="931">
        <v>10</v>
      </c>
      <c r="Q178" s="932">
        <v>1.194</v>
      </c>
      <c r="R178" s="933"/>
      <c r="S178" s="843"/>
      <c r="T178" s="977">
        <f>T173+5</f>
        <v>1010</v>
      </c>
      <c r="U178" s="32">
        <v>999.2</v>
      </c>
      <c r="V178" s="385" t="str">
        <f t="shared" si="100"/>
        <v>128 ̸ 120g</v>
      </c>
      <c r="W178" s="1034">
        <f t="shared" si="98"/>
        <v>1.400324149108584</v>
      </c>
      <c r="X178" s="638">
        <v>120</v>
      </c>
      <c r="Y178" s="628"/>
      <c r="AA178" s="606"/>
      <c r="AB178" s="606"/>
      <c r="AC178" s="606"/>
      <c r="AD178" s="606"/>
      <c r="AE178" s="606"/>
      <c r="AF178" s="606"/>
      <c r="AG178" s="606"/>
      <c r="AH178" s="125"/>
      <c r="AI178" s="125"/>
      <c r="AJ178" s="125"/>
      <c r="AK178" s="125"/>
      <c r="AL178" s="125"/>
      <c r="AM178" s="125"/>
      <c r="AN178" s="125"/>
      <c r="AO178" s="125"/>
      <c r="AP178" s="125"/>
      <c r="AQ178" s="125"/>
      <c r="AR178" s="125"/>
      <c r="AS178" s="125"/>
      <c r="AT178" s="125"/>
      <c r="AU178" s="125"/>
      <c r="AV178" s="125"/>
      <c r="AW178" s="125"/>
      <c r="AX178" s="125"/>
      <c r="AY178" s="125"/>
      <c r="AZ178" s="125"/>
      <c r="BA178" s="828"/>
    </row>
    <row r="179" spans="1:53">
      <c r="A179" s="868"/>
      <c r="B179" s="843"/>
      <c r="C179" s="843"/>
      <c r="D179" s="843"/>
      <c r="E179" s="843"/>
      <c r="F179" s="843"/>
      <c r="G179" s="843"/>
      <c r="H179" s="843"/>
      <c r="I179" s="843"/>
      <c r="J179" s="843"/>
      <c r="K179" s="843"/>
      <c r="L179" s="843"/>
      <c r="M179" s="843"/>
      <c r="N179" s="843"/>
      <c r="O179" s="926"/>
      <c r="P179" s="931">
        <v>11</v>
      </c>
      <c r="Q179" s="932">
        <v>1.1539999999999999</v>
      </c>
      <c r="R179" s="933"/>
      <c r="S179" s="843"/>
      <c r="T179" s="977">
        <f t="shared" ref="T179:T207" si="101">T178+5</f>
        <v>1015</v>
      </c>
      <c r="U179" s="32">
        <v>998.8</v>
      </c>
      <c r="V179" s="385" t="str">
        <f t="shared" si="100"/>
        <v>192 ̸ 180g</v>
      </c>
      <c r="W179" s="1034">
        <f t="shared" si="98"/>
        <v>2.1056051990251889</v>
      </c>
      <c r="X179" s="638">
        <v>180</v>
      </c>
      <c r="Y179" s="628"/>
      <c r="AA179" s="606"/>
      <c r="AB179" s="606"/>
      <c r="AC179" s="606"/>
      <c r="AD179" s="606"/>
      <c r="AE179" s="606"/>
      <c r="AF179" s="606"/>
      <c r="AG179" s="606"/>
      <c r="AH179" s="125"/>
      <c r="AI179" s="125"/>
      <c r="AJ179" s="125"/>
      <c r="AK179" s="125"/>
      <c r="AL179" s="125"/>
      <c r="AM179" s="125"/>
      <c r="AN179" s="125"/>
      <c r="AO179" s="125"/>
      <c r="AP179" s="125"/>
      <c r="AQ179" s="125"/>
      <c r="AR179" s="125"/>
      <c r="AS179" s="125"/>
      <c r="AT179" s="125"/>
      <c r="AU179" s="125"/>
      <c r="AV179" s="125"/>
      <c r="AW179" s="125"/>
      <c r="AX179" s="125"/>
      <c r="AY179" s="125"/>
      <c r="AZ179" s="125"/>
      <c r="BA179" s="828"/>
    </row>
    <row r="180" spans="1:53">
      <c r="A180" s="868"/>
      <c r="B180" s="843"/>
      <c r="C180" s="843"/>
      <c r="D180" s="843"/>
      <c r="E180" s="843"/>
      <c r="F180" s="843"/>
      <c r="G180" s="843"/>
      <c r="H180" s="843"/>
      <c r="I180" s="843"/>
      <c r="J180" s="843"/>
      <c r="K180" s="843"/>
      <c r="L180" s="843"/>
      <c r="M180" s="843"/>
      <c r="N180" s="843"/>
      <c r="O180" s="926"/>
      <c r="P180" s="931">
        <v>12</v>
      </c>
      <c r="Q180" s="932">
        <v>1.117</v>
      </c>
      <c r="R180" s="933"/>
      <c r="S180" s="843"/>
      <c r="T180" s="977">
        <f t="shared" si="101"/>
        <v>1020</v>
      </c>
      <c r="U180" s="32">
        <v>998.4</v>
      </c>
      <c r="V180" s="385" t="str">
        <f t="shared" si="100"/>
        <v>256 ̸ 240g</v>
      </c>
      <c r="W180" s="1034">
        <f t="shared" si="98"/>
        <v>2.8143322475570063</v>
      </c>
      <c r="X180" s="638">
        <v>240</v>
      </c>
      <c r="Y180" s="628"/>
      <c r="AA180" s="606"/>
      <c r="AB180" s="606"/>
      <c r="AC180" s="606"/>
      <c r="AD180" s="606"/>
      <c r="AE180" s="606"/>
      <c r="AF180" s="606"/>
      <c r="AG180" s="606"/>
      <c r="AH180" s="125"/>
      <c r="AI180" s="125"/>
      <c r="AJ180" s="125"/>
      <c r="AK180" s="125"/>
      <c r="AL180" s="125"/>
      <c r="AM180" s="125"/>
      <c r="AN180" s="125"/>
      <c r="AO180" s="125"/>
      <c r="AP180" s="125"/>
      <c r="AQ180" s="125"/>
      <c r="AR180" s="125"/>
      <c r="AS180" s="125"/>
      <c r="AT180" s="125"/>
      <c r="AU180" s="125"/>
      <c r="AV180" s="125"/>
      <c r="AW180" s="125"/>
      <c r="AX180" s="125"/>
      <c r="AY180" s="125"/>
      <c r="AZ180" s="125"/>
      <c r="BA180" s="828"/>
    </row>
    <row r="181" spans="1:53">
      <c r="A181" s="868"/>
      <c r="B181" s="843"/>
      <c r="C181" s="843"/>
      <c r="D181" s="843"/>
      <c r="E181" s="843"/>
      <c r="F181" s="843"/>
      <c r="G181" s="843"/>
      <c r="H181" s="843"/>
      <c r="I181" s="843"/>
      <c r="J181" s="843"/>
      <c r="K181" s="843"/>
      <c r="L181" s="843"/>
      <c r="M181" s="843"/>
      <c r="N181" s="926"/>
      <c r="O181" s="926"/>
      <c r="P181" s="931">
        <v>13</v>
      </c>
      <c r="Q181" s="932">
        <v>1.083</v>
      </c>
      <c r="R181" s="933"/>
      <c r="S181" s="843"/>
      <c r="T181" s="977">
        <f t="shared" si="101"/>
        <v>1025</v>
      </c>
      <c r="U181" s="32">
        <v>998</v>
      </c>
      <c r="V181" s="385" t="str">
        <f t="shared" si="100"/>
        <v>320 ̸ 300g</v>
      </c>
      <c r="W181" s="1034">
        <f t="shared" si="98"/>
        <v>3.5265306122448981</v>
      </c>
      <c r="X181" s="638">
        <v>300</v>
      </c>
      <c r="Y181" s="628"/>
      <c r="AA181" s="606"/>
      <c r="AB181" s="606"/>
      <c r="AC181" s="606"/>
      <c r="AD181" s="606"/>
      <c r="AE181" s="606"/>
      <c r="AF181" s="606"/>
      <c r="AG181" s="606"/>
      <c r="AH181" s="125"/>
      <c r="AI181" s="125"/>
      <c r="AJ181" s="125"/>
      <c r="AK181" s="125"/>
      <c r="AL181" s="125"/>
      <c r="AM181" s="125"/>
      <c r="AN181" s="125"/>
      <c r="AO181" s="125"/>
      <c r="AP181" s="125"/>
      <c r="AQ181" s="125"/>
      <c r="AR181" s="125"/>
      <c r="AS181" s="125"/>
      <c r="AT181" s="125"/>
      <c r="AU181" s="125"/>
      <c r="AV181" s="125"/>
      <c r="AW181" s="125"/>
      <c r="AX181" s="125"/>
      <c r="AY181" s="125"/>
      <c r="AZ181" s="125"/>
      <c r="BA181" s="828"/>
    </row>
    <row r="182" spans="1:53">
      <c r="A182" s="868"/>
      <c r="B182" s="843"/>
      <c r="C182" s="843"/>
      <c r="D182" s="843"/>
      <c r="E182" s="843"/>
      <c r="F182" s="843"/>
      <c r="G182" s="843"/>
      <c r="H182" s="843"/>
      <c r="I182" s="843"/>
      <c r="J182" s="843"/>
      <c r="K182" s="843"/>
      <c r="L182" s="843"/>
      <c r="M182" s="843"/>
      <c r="N182" s="926"/>
      <c r="O182" s="926"/>
      <c r="P182" s="931">
        <f>(P181+P183)/2</f>
        <v>13.5</v>
      </c>
      <c r="Q182" s="931">
        <f>(Q181+Q183)/2</f>
        <v>1.0665</v>
      </c>
      <c r="R182" s="933"/>
      <c r="S182" s="843"/>
      <c r="T182" s="977">
        <f t="shared" si="101"/>
        <v>1030</v>
      </c>
      <c r="U182" s="32">
        <v>997.6</v>
      </c>
      <c r="V182" s="385" t="str">
        <f t="shared" si="100"/>
        <v>384 ̸ 360g</v>
      </c>
      <c r="W182" s="1034">
        <f t="shared" si="98"/>
        <v>4.2422258592471325</v>
      </c>
      <c r="X182" s="638">
        <v>360</v>
      </c>
      <c r="Y182" s="628"/>
      <c r="AA182" s="606"/>
      <c r="AB182" s="606"/>
      <c r="AC182" s="606"/>
      <c r="AD182" s="606"/>
      <c r="AE182" s="606"/>
      <c r="AF182" s="606"/>
      <c r="AG182" s="606"/>
      <c r="AH182" s="125"/>
      <c r="AI182" s="125"/>
      <c r="AJ182" s="125"/>
      <c r="AK182" s="125"/>
      <c r="AL182" s="125"/>
      <c r="AM182" s="125"/>
      <c r="AN182" s="125"/>
      <c r="AO182" s="125"/>
      <c r="AP182" s="125"/>
      <c r="AQ182" s="125"/>
      <c r="AR182" s="125"/>
      <c r="AS182" s="125"/>
      <c r="AT182" s="125"/>
      <c r="AU182" s="125"/>
      <c r="AV182" s="125"/>
      <c r="AW182" s="125"/>
      <c r="AX182" s="125"/>
      <c r="AY182" s="125"/>
      <c r="AZ182" s="125"/>
      <c r="BA182" s="828"/>
    </row>
    <row r="183" spans="1:53">
      <c r="A183" s="868"/>
      <c r="B183" s="843"/>
      <c r="C183" s="843"/>
      <c r="D183" s="843"/>
      <c r="E183" s="843"/>
      <c r="F183" s="843"/>
      <c r="G183" s="843"/>
      <c r="H183" s="843"/>
      <c r="I183" s="843"/>
      <c r="J183" s="843"/>
      <c r="K183" s="843"/>
      <c r="L183" s="843"/>
      <c r="M183" s="843"/>
      <c r="N183" s="926"/>
      <c r="O183" s="926"/>
      <c r="P183" s="931">
        <v>14</v>
      </c>
      <c r="Q183" s="932">
        <v>1.05</v>
      </c>
      <c r="R183" s="933"/>
      <c r="S183" s="843"/>
      <c r="T183" s="977">
        <f t="shared" si="101"/>
        <v>1035</v>
      </c>
      <c r="U183" s="32">
        <v>997.2</v>
      </c>
      <c r="V183" s="385" t="str">
        <f t="shared" si="100"/>
        <v>448 ̸ 420g</v>
      </c>
      <c r="W183" s="1034">
        <f t="shared" si="98"/>
        <v>4.9614438063986812</v>
      </c>
      <c r="X183" s="638">
        <v>420</v>
      </c>
      <c r="Y183" s="628"/>
      <c r="AA183" s="606"/>
      <c r="AB183" s="606"/>
      <c r="AC183" s="606"/>
      <c r="AD183" s="606"/>
      <c r="AE183" s="606"/>
      <c r="AF183" s="606"/>
      <c r="AG183" s="606"/>
      <c r="AH183" s="125"/>
      <c r="AI183" s="125"/>
      <c r="AJ183" s="125"/>
      <c r="AK183" s="125"/>
      <c r="AL183" s="125"/>
      <c r="AM183" s="125"/>
      <c r="AN183" s="125"/>
      <c r="AO183" s="125"/>
      <c r="AP183" s="125"/>
      <c r="AQ183" s="125"/>
      <c r="AR183" s="125"/>
      <c r="AS183" s="125"/>
      <c r="AT183" s="125"/>
      <c r="AU183" s="125"/>
      <c r="AV183" s="125"/>
      <c r="AW183" s="125"/>
      <c r="AX183" s="125"/>
      <c r="AY183" s="125"/>
      <c r="AZ183" s="125"/>
      <c r="BA183" s="828"/>
    </row>
    <row r="184" spans="1:53">
      <c r="A184" s="868"/>
      <c r="B184" s="843"/>
      <c r="C184" s="843"/>
      <c r="D184" s="843"/>
      <c r="E184" s="843"/>
      <c r="F184" s="843"/>
      <c r="G184" s="843"/>
      <c r="H184" s="843"/>
      <c r="I184" s="843"/>
      <c r="J184" s="843"/>
      <c r="K184" s="843"/>
      <c r="L184" s="843"/>
      <c r="M184" s="843"/>
      <c r="N184" s="926"/>
      <c r="O184" s="926"/>
      <c r="P184" s="931">
        <f>(P183+P185)/2</f>
        <v>14.5</v>
      </c>
      <c r="Q184" s="931">
        <f>(Q183+Q185)/2</f>
        <v>1.034</v>
      </c>
      <c r="R184" s="933"/>
      <c r="S184" s="843"/>
      <c r="T184" s="977">
        <f t="shared" si="101"/>
        <v>1040</v>
      </c>
      <c r="U184" s="32">
        <v>996.8</v>
      </c>
      <c r="V184" s="385" t="str">
        <f t="shared" si="100"/>
        <v>512 ̸ 480g</v>
      </c>
      <c r="W184" s="1034">
        <f t="shared" si="98"/>
        <v>5.6842105263157956</v>
      </c>
      <c r="X184" s="638">
        <v>480</v>
      </c>
      <c r="Y184" s="628"/>
      <c r="AA184" s="606"/>
      <c r="AB184" s="606"/>
      <c r="AC184" s="606"/>
      <c r="AD184" s="606"/>
      <c r="AE184" s="606"/>
      <c r="AF184" s="606"/>
      <c r="AG184" s="606"/>
      <c r="AH184" s="125"/>
      <c r="AI184" s="125"/>
      <c r="AJ184" s="125"/>
      <c r="AK184" s="125"/>
      <c r="AL184" s="125"/>
      <c r="AM184" s="125"/>
      <c r="AN184" s="125"/>
      <c r="AO184" s="125"/>
      <c r="AP184" s="125"/>
      <c r="AQ184" s="125"/>
      <c r="AR184" s="125"/>
      <c r="AS184" s="125"/>
      <c r="AT184" s="125"/>
      <c r="AU184" s="125"/>
      <c r="AV184" s="125"/>
      <c r="AW184" s="125"/>
      <c r="AX184" s="125"/>
      <c r="AY184" s="125"/>
      <c r="AZ184" s="125"/>
      <c r="BA184" s="828"/>
    </row>
    <row r="185" spans="1:53">
      <c r="A185" s="868"/>
      <c r="B185" s="843"/>
      <c r="C185" s="843"/>
      <c r="D185" s="843"/>
      <c r="E185" s="843"/>
      <c r="F185" s="843"/>
      <c r="G185" s="843"/>
      <c r="H185" s="843"/>
      <c r="I185" s="843"/>
      <c r="J185" s="843"/>
      <c r="K185" s="843"/>
      <c r="L185" s="843"/>
      <c r="M185" s="843"/>
      <c r="N185" s="926"/>
      <c r="O185" s="926"/>
      <c r="P185" s="931">
        <v>15</v>
      </c>
      <c r="Q185" s="932">
        <v>1.018</v>
      </c>
      <c r="R185" s="933"/>
      <c r="S185" s="843"/>
      <c r="T185" s="977">
        <f t="shared" si="101"/>
        <v>1045</v>
      </c>
      <c r="U185" s="32">
        <v>996.4</v>
      </c>
      <c r="V185" s="385" t="str">
        <f t="shared" si="100"/>
        <v>576 ̸ 540g</v>
      </c>
      <c r="W185" s="1034">
        <f t="shared" si="98"/>
        <v>6.4105523495465819</v>
      </c>
      <c r="X185" s="638">
        <v>540</v>
      </c>
      <c r="Y185" s="628"/>
      <c r="AA185" s="606"/>
      <c r="AB185" s="606"/>
      <c r="AC185" s="606"/>
      <c r="AD185" s="606"/>
      <c r="AE185" s="606"/>
      <c r="AF185" s="606"/>
      <c r="AG185" s="606"/>
      <c r="AH185" s="125"/>
      <c r="AI185" s="125"/>
      <c r="AJ185" s="125"/>
      <c r="AK185" s="125"/>
      <c r="AL185" s="125"/>
      <c r="AM185" s="125"/>
      <c r="AN185" s="125"/>
      <c r="AO185" s="125"/>
      <c r="AP185" s="125"/>
      <c r="AQ185" s="125"/>
      <c r="AR185" s="125"/>
      <c r="AS185" s="125"/>
      <c r="AT185" s="125"/>
      <c r="AU185" s="125"/>
      <c r="AV185" s="125"/>
      <c r="AW185" s="125"/>
      <c r="AX185" s="125"/>
      <c r="AY185" s="125"/>
      <c r="AZ185" s="125"/>
      <c r="BA185" s="828"/>
    </row>
    <row r="186" spans="1:53">
      <c r="A186" s="868"/>
      <c r="B186" s="843"/>
      <c r="C186" s="843"/>
      <c r="D186" s="843"/>
      <c r="E186" s="843"/>
      <c r="F186" s="843"/>
      <c r="G186" s="843"/>
      <c r="H186" s="843"/>
      <c r="I186" s="843"/>
      <c r="J186" s="843"/>
      <c r="K186" s="843"/>
      <c r="L186" s="843"/>
      <c r="M186" s="843"/>
      <c r="N186" s="926"/>
      <c r="O186" s="926"/>
      <c r="P186" s="931">
        <f>(P185+P187)/2</f>
        <v>15.5</v>
      </c>
      <c r="Q186" s="931">
        <f>(Q185+Q187)/2</f>
        <v>1.0015000000000001</v>
      </c>
      <c r="R186" s="933"/>
      <c r="S186" s="843"/>
      <c r="T186" s="977">
        <f t="shared" si="101"/>
        <v>1050</v>
      </c>
      <c r="U186" s="32">
        <v>996</v>
      </c>
      <c r="V186" s="385" t="str">
        <f t="shared" si="100"/>
        <v>640 ̸ 600g</v>
      </c>
      <c r="W186" s="1034">
        <f t="shared" si="98"/>
        <v>7.1404958677685952</v>
      </c>
      <c r="X186" s="638">
        <v>600</v>
      </c>
      <c r="Y186" s="628"/>
      <c r="AA186" s="606"/>
      <c r="AB186" s="606"/>
      <c r="AC186" s="606"/>
      <c r="AD186" s="606"/>
      <c r="AE186" s="606"/>
      <c r="AF186" s="606"/>
      <c r="AG186" s="606"/>
      <c r="AH186" s="125"/>
      <c r="AI186" s="125"/>
      <c r="AJ186" s="125"/>
      <c r="AK186" s="125"/>
      <c r="AL186" s="125"/>
      <c r="AM186" s="125"/>
      <c r="AN186" s="125"/>
      <c r="AO186" s="125"/>
      <c r="AP186" s="125"/>
      <c r="AQ186" s="125"/>
      <c r="AR186" s="125"/>
      <c r="AS186" s="125"/>
      <c r="AT186" s="125"/>
      <c r="AU186" s="125"/>
      <c r="AV186" s="125"/>
      <c r="AW186" s="125"/>
      <c r="AX186" s="125"/>
      <c r="AY186" s="125"/>
      <c r="AZ186" s="125"/>
      <c r="BA186" s="828"/>
    </row>
    <row r="187" spans="1:53">
      <c r="A187" s="868"/>
      <c r="B187" s="843"/>
      <c r="C187" s="843"/>
      <c r="D187" s="843"/>
      <c r="E187" s="843"/>
      <c r="F187" s="843"/>
      <c r="G187" s="843"/>
      <c r="H187" s="843"/>
      <c r="I187" s="843"/>
      <c r="J187" s="843"/>
      <c r="K187" s="843"/>
      <c r="L187" s="843"/>
      <c r="M187" s="843"/>
      <c r="N187" s="926"/>
      <c r="O187" s="926"/>
      <c r="P187" s="931">
        <v>16</v>
      </c>
      <c r="Q187" s="932">
        <v>0.98499999999999999</v>
      </c>
      <c r="R187" s="933"/>
      <c r="S187" s="843"/>
      <c r="T187" s="977">
        <f t="shared" si="101"/>
        <v>1055</v>
      </c>
      <c r="U187" s="32">
        <v>995.6</v>
      </c>
      <c r="V187" s="385" t="str">
        <f t="shared" si="100"/>
        <v>704 ̸ 660g</v>
      </c>
      <c r="W187" s="1034">
        <f t="shared" si="98"/>
        <v>7.8740679370339652</v>
      </c>
      <c r="X187" s="638">
        <v>660</v>
      </c>
      <c r="Y187" s="628"/>
      <c r="AA187" s="606"/>
      <c r="AB187" s="606"/>
      <c r="AC187" s="606"/>
      <c r="AD187" s="606"/>
      <c r="AE187" s="606"/>
      <c r="AF187" s="606"/>
      <c r="AG187" s="606"/>
      <c r="AH187" s="125"/>
      <c r="AI187" s="125"/>
      <c r="AJ187" s="125"/>
      <c r="AK187" s="125"/>
      <c r="AL187" s="125"/>
      <c r="AM187" s="125"/>
      <c r="AN187" s="125"/>
      <c r="AO187" s="125"/>
      <c r="AP187" s="125"/>
      <c r="AQ187" s="125"/>
      <c r="AR187" s="125"/>
      <c r="AS187" s="125"/>
      <c r="AT187" s="125"/>
      <c r="AU187" s="125"/>
      <c r="AV187" s="125"/>
      <c r="AW187" s="125"/>
      <c r="AX187" s="125"/>
      <c r="AY187" s="125"/>
      <c r="AZ187" s="125"/>
      <c r="BA187" s="828"/>
    </row>
    <row r="188" spans="1:53">
      <c r="A188" s="868"/>
      <c r="B188" s="843"/>
      <c r="C188" s="843"/>
      <c r="D188" s="843"/>
      <c r="E188" s="843"/>
      <c r="F188" s="843"/>
      <c r="G188" s="843"/>
      <c r="H188" s="843"/>
      <c r="I188" s="843"/>
      <c r="J188" s="843"/>
      <c r="K188" s="843"/>
      <c r="L188" s="843"/>
      <c r="M188" s="843"/>
      <c r="N188" s="926"/>
      <c r="O188" s="926"/>
      <c r="P188" s="931">
        <f>(P187+P189)/2</f>
        <v>16.5</v>
      </c>
      <c r="Q188" s="931">
        <f>(Q187+Q189)/2</f>
        <v>0.97049999999999992</v>
      </c>
      <c r="R188" s="933"/>
      <c r="S188" s="843"/>
      <c r="T188" s="977">
        <f t="shared" si="101"/>
        <v>1060</v>
      </c>
      <c r="U188" s="32">
        <v>995.2</v>
      </c>
      <c r="V188" s="385" t="str">
        <f t="shared" si="100"/>
        <v>768 ̸ 720g</v>
      </c>
      <c r="W188" s="1034">
        <f t="shared" si="98"/>
        <v>8.6112956810631172</v>
      </c>
      <c r="X188" s="638">
        <v>720</v>
      </c>
      <c r="Y188" s="628"/>
      <c r="AA188" s="606"/>
      <c r="AB188" s="606"/>
      <c r="AC188" s="606"/>
      <c r="AD188" s="606"/>
      <c r="AE188" s="606"/>
      <c r="AF188" s="606"/>
      <c r="AG188" s="606"/>
      <c r="AH188" s="125"/>
      <c r="AI188" s="125"/>
      <c r="AJ188" s="125"/>
      <c r="AK188" s="125"/>
      <c r="AL188" s="125"/>
      <c r="AM188" s="125"/>
      <c r="AN188" s="125"/>
      <c r="AO188" s="125"/>
      <c r="AP188" s="125"/>
      <c r="AQ188" s="125"/>
      <c r="AR188" s="125"/>
      <c r="AS188" s="125"/>
      <c r="AT188" s="125"/>
      <c r="AU188" s="125"/>
      <c r="AV188" s="125"/>
      <c r="AW188" s="125"/>
      <c r="AX188" s="125"/>
      <c r="AY188" s="125"/>
      <c r="AZ188" s="125"/>
      <c r="BA188" s="828"/>
    </row>
    <row r="189" spans="1:53">
      <c r="A189" s="868"/>
      <c r="B189" s="843"/>
      <c r="C189" s="843"/>
      <c r="D189" s="843"/>
      <c r="E189" s="843"/>
      <c r="F189" s="843"/>
      <c r="G189" s="843"/>
      <c r="H189" s="843"/>
      <c r="I189" s="843"/>
      <c r="J189" s="843"/>
      <c r="K189" s="843"/>
      <c r="L189" s="843"/>
      <c r="M189" s="843"/>
      <c r="N189" s="926"/>
      <c r="O189" s="926"/>
      <c r="P189" s="931">
        <v>17</v>
      </c>
      <c r="Q189" s="932">
        <v>0.95599999999999996</v>
      </c>
      <c r="R189" s="933"/>
      <c r="S189" s="843"/>
      <c r="T189" s="977">
        <f t="shared" si="101"/>
        <v>1065</v>
      </c>
      <c r="U189" s="32">
        <v>994.8</v>
      </c>
      <c r="V189" s="385" t="str">
        <f t="shared" si="100"/>
        <v>832 ̸ 780g</v>
      </c>
      <c r="W189" s="1034">
        <f t="shared" si="98"/>
        <v>9.3522064945878505</v>
      </c>
      <c r="X189" s="638">
        <v>780</v>
      </c>
      <c r="Y189" s="628"/>
      <c r="AA189" s="606"/>
      <c r="AB189" s="606"/>
      <c r="AC189" s="606"/>
      <c r="AD189" s="606"/>
      <c r="AE189" s="606"/>
      <c r="AF189" s="606"/>
      <c r="AG189" s="606"/>
      <c r="AH189" s="125"/>
      <c r="AI189" s="125"/>
      <c r="AJ189" s="125"/>
      <c r="AK189" s="125"/>
      <c r="AL189" s="125"/>
      <c r="AM189" s="125"/>
      <c r="AN189" s="125"/>
      <c r="AO189" s="125"/>
      <c r="AP189" s="125"/>
      <c r="AQ189" s="125"/>
      <c r="AR189" s="125"/>
      <c r="AS189" s="125"/>
      <c r="AT189" s="125"/>
      <c r="AU189" s="125"/>
      <c r="AV189" s="125"/>
      <c r="AW189" s="125"/>
      <c r="AX189" s="125"/>
      <c r="AY189" s="125"/>
      <c r="AZ189" s="125"/>
      <c r="BA189" s="828"/>
    </row>
    <row r="190" spans="1:53">
      <c r="A190" s="868"/>
      <c r="B190" s="843"/>
      <c r="C190" s="843"/>
      <c r="D190" s="843"/>
      <c r="E190" s="843"/>
      <c r="F190" s="843"/>
      <c r="G190" s="843"/>
      <c r="H190" s="843"/>
      <c r="I190" s="843"/>
      <c r="J190" s="843"/>
      <c r="K190" s="843"/>
      <c r="L190" s="843"/>
      <c r="M190" s="843"/>
      <c r="N190" s="926"/>
      <c r="O190" s="926"/>
      <c r="P190" s="931">
        <f>(P189+P191)/2</f>
        <v>17.5</v>
      </c>
      <c r="Q190" s="931">
        <f>(Q189+Q191)/2</f>
        <v>0.94199999999999995</v>
      </c>
      <c r="R190" s="933"/>
      <c r="S190" s="843"/>
      <c r="T190" s="977">
        <f t="shared" si="101"/>
        <v>1070</v>
      </c>
      <c r="U190" s="32">
        <v>994.4</v>
      </c>
      <c r="V190" s="385" t="str">
        <f t="shared" si="100"/>
        <v>896 ̸ 840g</v>
      </c>
      <c r="W190" s="1034">
        <f t="shared" si="98"/>
        <v>10.096828046744578</v>
      </c>
      <c r="X190" s="638">
        <v>840</v>
      </c>
      <c r="Y190" s="628"/>
      <c r="AA190" s="606"/>
      <c r="AB190" s="606"/>
      <c r="AC190" s="606"/>
      <c r="AD190" s="606"/>
      <c r="AE190" s="606"/>
      <c r="AF190" s="606"/>
      <c r="AG190" s="606"/>
      <c r="AH190" s="125"/>
      <c r="AI190" s="125"/>
      <c r="AJ190" s="125"/>
      <c r="AK190" s="125"/>
      <c r="AL190" s="125"/>
      <c r="AM190" s="125"/>
      <c r="AN190" s="125"/>
      <c r="AO190" s="125"/>
      <c r="AP190" s="125"/>
      <c r="AQ190" s="125"/>
      <c r="AR190" s="125"/>
      <c r="AS190" s="125"/>
      <c r="AT190" s="125"/>
      <c r="AU190" s="125"/>
      <c r="AV190" s="125"/>
      <c r="AW190" s="125"/>
      <c r="AX190" s="125"/>
      <c r="AY190" s="125"/>
      <c r="AZ190" s="125"/>
      <c r="BA190" s="828"/>
    </row>
    <row r="191" spans="1:53">
      <c r="A191" s="868"/>
      <c r="B191" s="843"/>
      <c r="C191" s="843"/>
      <c r="D191" s="843"/>
      <c r="E191" s="843"/>
      <c r="F191" s="843"/>
      <c r="G191" s="843"/>
      <c r="H191" s="843"/>
      <c r="I191" s="843"/>
      <c r="J191" s="843"/>
      <c r="K191" s="843"/>
      <c r="L191" s="843"/>
      <c r="M191" s="843"/>
      <c r="N191" s="926"/>
      <c r="O191" s="926"/>
      <c r="P191" s="931">
        <v>18</v>
      </c>
      <c r="Q191" s="932">
        <v>0.92800000000000005</v>
      </c>
      <c r="R191" s="933"/>
      <c r="S191" s="843"/>
      <c r="T191" s="977">
        <f t="shared" si="101"/>
        <v>1075</v>
      </c>
      <c r="U191" s="32">
        <v>994</v>
      </c>
      <c r="V191" s="385" t="str">
        <f t="shared" si="100"/>
        <v>960 ̸ 900g</v>
      </c>
      <c r="W191" s="1034">
        <f t="shared" si="98"/>
        <v>10.845188284518828</v>
      </c>
      <c r="X191" s="638">
        <v>900</v>
      </c>
      <c r="Y191" s="628"/>
      <c r="AA191" s="606"/>
      <c r="AB191" s="606"/>
      <c r="AC191" s="606"/>
      <c r="AD191" s="606"/>
      <c r="AE191" s="606"/>
      <c r="AF191" s="606"/>
      <c r="AG191" s="606"/>
      <c r="AH191" s="125"/>
      <c r="AI191" s="125"/>
      <c r="AJ191" s="125"/>
      <c r="AK191" s="125"/>
      <c r="AL191" s="125"/>
      <c r="AM191" s="125"/>
      <c r="AN191" s="125"/>
      <c r="AO191" s="125"/>
      <c r="AP191" s="125"/>
      <c r="AQ191" s="125"/>
      <c r="AR191" s="125"/>
      <c r="AS191" s="125"/>
      <c r="AT191" s="125"/>
      <c r="AU191" s="125"/>
      <c r="AV191" s="125"/>
      <c r="AW191" s="125"/>
      <c r="AX191" s="125"/>
      <c r="AY191" s="125"/>
      <c r="AZ191" s="125"/>
      <c r="BA191" s="828"/>
    </row>
    <row r="192" spans="1:53">
      <c r="A192" s="868"/>
      <c r="B192" s="843"/>
      <c r="C192" s="843"/>
      <c r="D192" s="843"/>
      <c r="E192" s="843"/>
      <c r="F192" s="843"/>
      <c r="G192" s="843"/>
      <c r="H192" s="843"/>
      <c r="I192" s="843"/>
      <c r="J192" s="843"/>
      <c r="K192" s="843"/>
      <c r="L192" s="843"/>
      <c r="M192" s="843"/>
      <c r="N192" s="926"/>
      <c r="O192" s="926"/>
      <c r="P192" s="931">
        <f>(P191+P193)/2</f>
        <v>18.5</v>
      </c>
      <c r="Q192" s="931">
        <f>(Q191+Q193)/2</f>
        <v>0.91500000000000004</v>
      </c>
      <c r="R192" s="933"/>
      <c r="S192" s="843"/>
      <c r="T192" s="977">
        <f t="shared" si="101"/>
        <v>1080</v>
      </c>
      <c r="U192" s="32">
        <v>993.61</v>
      </c>
      <c r="V192" s="385" t="str">
        <f t="shared" si="100"/>
        <v>1024 ̸ 960g</v>
      </c>
      <c r="W192" s="1034">
        <f t="shared" si="98"/>
        <v>11.595973154362413</v>
      </c>
      <c r="X192" s="638">
        <v>960</v>
      </c>
      <c r="Y192" s="628"/>
      <c r="AA192" s="606"/>
      <c r="AB192" s="606"/>
      <c r="AC192" s="606"/>
      <c r="AD192" s="606"/>
      <c r="AE192" s="606"/>
      <c r="AF192" s="606"/>
      <c r="AG192" s="606"/>
      <c r="AH192" s="125"/>
      <c r="AI192" s="125"/>
      <c r="AJ192" s="125"/>
      <c r="AK192" s="125"/>
      <c r="AL192" s="125"/>
      <c r="AM192" s="125"/>
      <c r="AN192" s="125"/>
      <c r="AO192" s="125"/>
      <c r="AP192" s="125"/>
      <c r="AQ192" s="125"/>
      <c r="AR192" s="125"/>
      <c r="AS192" s="125"/>
      <c r="AT192" s="125"/>
      <c r="AU192" s="125"/>
      <c r="AV192" s="125"/>
      <c r="AW192" s="125"/>
      <c r="AX192" s="125"/>
      <c r="AY192" s="125"/>
      <c r="AZ192" s="125"/>
      <c r="BA192" s="828"/>
    </row>
    <row r="193" spans="1:53">
      <c r="A193" s="868"/>
      <c r="B193" s="843"/>
      <c r="C193" s="843"/>
      <c r="D193" s="843"/>
      <c r="E193" s="843"/>
      <c r="F193" s="843"/>
      <c r="G193" s="843"/>
      <c r="H193" s="843"/>
      <c r="I193" s="843"/>
      <c r="J193" s="843"/>
      <c r="K193" s="843"/>
      <c r="L193" s="843"/>
      <c r="M193" s="843"/>
      <c r="N193" s="926"/>
      <c r="O193" s="926"/>
      <c r="P193" s="931">
        <v>19</v>
      </c>
      <c r="Q193" s="932">
        <v>0.90200000000000002</v>
      </c>
      <c r="R193" s="933"/>
      <c r="S193" s="843"/>
      <c r="T193" s="977">
        <f t="shared" si="101"/>
        <v>1085</v>
      </c>
      <c r="U193" s="32">
        <v>993.21</v>
      </c>
      <c r="V193" s="385" t="str">
        <f t="shared" si="100"/>
        <v>1088 ̸ 1020g</v>
      </c>
      <c r="W193" s="1034">
        <f t="shared" si="98"/>
        <v>12.351892346509667</v>
      </c>
      <c r="X193" s="638">
        <v>1020</v>
      </c>
      <c r="Y193" s="628"/>
      <c r="AA193" s="606"/>
      <c r="AB193" s="606"/>
      <c r="AC193" s="606"/>
      <c r="AD193" s="606"/>
      <c r="AE193" s="606"/>
      <c r="AF193" s="606"/>
      <c r="AG193" s="606"/>
      <c r="AH193" s="125"/>
      <c r="AI193" s="125"/>
      <c r="AJ193" s="125"/>
      <c r="AK193" s="125"/>
      <c r="AL193" s="125"/>
      <c r="AM193" s="125"/>
      <c r="AN193" s="125"/>
      <c r="AO193" s="125"/>
      <c r="AP193" s="125"/>
      <c r="AQ193" s="125"/>
      <c r="AR193" s="125"/>
      <c r="AS193" s="125"/>
      <c r="AT193" s="125"/>
      <c r="AU193" s="125"/>
      <c r="AV193" s="125"/>
      <c r="AW193" s="125"/>
      <c r="AX193" s="125"/>
      <c r="AY193" s="125"/>
      <c r="AZ193" s="125"/>
      <c r="BA193" s="828"/>
    </row>
    <row r="194" spans="1:53">
      <c r="A194" s="868"/>
      <c r="B194" s="843"/>
      <c r="C194" s="843"/>
      <c r="D194" s="843"/>
      <c r="E194" s="843"/>
      <c r="F194" s="843"/>
      <c r="G194" s="843"/>
      <c r="H194" s="843"/>
      <c r="I194" s="843"/>
      <c r="J194" s="843"/>
      <c r="K194" s="843"/>
      <c r="L194" s="843"/>
      <c r="M194" s="843"/>
      <c r="N194" s="926"/>
      <c r="O194" s="926"/>
      <c r="P194" s="931">
        <f>(P193+P195)/2</f>
        <v>19.5</v>
      </c>
      <c r="Q194" s="931">
        <f>(Q193+Q195)/2</f>
        <v>0.88949999999999996</v>
      </c>
      <c r="R194" s="933"/>
      <c r="S194" s="843"/>
      <c r="T194" s="977">
        <f t="shared" si="101"/>
        <v>1090</v>
      </c>
      <c r="U194" s="32">
        <v>992.81</v>
      </c>
      <c r="V194" s="385" t="str">
        <f t="shared" si="100"/>
        <v>1152 ̸ 1080g</v>
      </c>
      <c r="W194" s="1034">
        <f t="shared" si="98"/>
        <v>13.111635750421593</v>
      </c>
      <c r="X194" s="638">
        <v>1080</v>
      </c>
      <c r="Y194" s="628"/>
      <c r="AA194" s="606"/>
      <c r="AB194" s="606"/>
      <c r="AC194" s="606"/>
      <c r="AD194" s="606"/>
      <c r="AE194" s="606"/>
      <c r="AF194" s="606"/>
      <c r="AG194" s="606"/>
      <c r="AH194" s="125"/>
      <c r="AI194" s="125"/>
      <c r="AJ194" s="125"/>
      <c r="AK194" s="125"/>
      <c r="AL194" s="125"/>
      <c r="AM194" s="125"/>
      <c r="AN194" s="125"/>
      <c r="AO194" s="125"/>
      <c r="AP194" s="125"/>
      <c r="AQ194" s="125"/>
      <c r="AR194" s="125"/>
      <c r="AS194" s="125"/>
      <c r="AT194" s="125"/>
      <c r="AU194" s="125"/>
      <c r="AV194" s="125"/>
      <c r="AW194" s="125"/>
      <c r="AX194" s="125"/>
      <c r="AY194" s="125"/>
      <c r="AZ194" s="125"/>
      <c r="BA194" s="828"/>
    </row>
    <row r="195" spans="1:53">
      <c r="A195" s="868"/>
      <c r="B195" s="843"/>
      <c r="C195" s="843"/>
      <c r="D195" s="843"/>
      <c r="E195" s="843"/>
      <c r="F195" s="843"/>
      <c r="G195" s="843"/>
      <c r="H195" s="843"/>
      <c r="I195" s="843"/>
      <c r="J195" s="843"/>
      <c r="K195" s="843"/>
      <c r="L195" s="843"/>
      <c r="M195" s="843"/>
      <c r="N195" s="926"/>
      <c r="O195" s="926"/>
      <c r="P195" s="931">
        <v>20</v>
      </c>
      <c r="Q195" s="932">
        <v>0.877</v>
      </c>
      <c r="R195" s="933"/>
      <c r="S195" s="843"/>
      <c r="T195" s="977">
        <f t="shared" si="101"/>
        <v>1095</v>
      </c>
      <c r="U195" s="32">
        <v>992.41</v>
      </c>
      <c r="V195" s="385" t="str">
        <f t="shared" si="100"/>
        <v>1216 ̸ 1140g</v>
      </c>
      <c r="W195" s="1034">
        <f t="shared" si="98"/>
        <v>13.875232459847849</v>
      </c>
      <c r="X195" s="638">
        <v>1140</v>
      </c>
      <c r="Y195" s="628"/>
      <c r="AA195" s="606"/>
      <c r="AB195" s="606"/>
      <c r="AC195" s="606"/>
      <c r="AD195" s="606"/>
      <c r="AE195" s="606"/>
      <c r="AF195" s="606"/>
      <c r="AG195" s="606"/>
      <c r="AH195" s="125"/>
      <c r="AI195" s="125"/>
      <c r="AJ195" s="125"/>
      <c r="AK195" s="125"/>
      <c r="AL195" s="125"/>
      <c r="AM195" s="125"/>
      <c r="AN195" s="125"/>
      <c r="AO195" s="125"/>
      <c r="AP195" s="125"/>
      <c r="AQ195" s="125"/>
      <c r="AR195" s="125"/>
      <c r="AS195" s="125"/>
      <c r="AT195" s="125"/>
      <c r="AU195" s="125"/>
      <c r="AV195" s="125"/>
      <c r="AW195" s="125"/>
      <c r="AX195" s="125"/>
      <c r="AY195" s="125"/>
      <c r="AZ195" s="125"/>
      <c r="BA195" s="828"/>
    </row>
    <row r="196" spans="1:53">
      <c r="A196" s="868"/>
      <c r="B196" s="843"/>
      <c r="C196" s="843"/>
      <c r="D196" s="843"/>
      <c r="E196" s="843"/>
      <c r="F196" s="843"/>
      <c r="G196" s="843"/>
      <c r="H196" s="843"/>
      <c r="I196" s="843"/>
      <c r="J196" s="843"/>
      <c r="K196" s="843"/>
      <c r="L196" s="843"/>
      <c r="M196" s="843"/>
      <c r="N196" s="926"/>
      <c r="O196" s="926"/>
      <c r="P196" s="931">
        <f>(P195+P197)/2</f>
        <v>20.5</v>
      </c>
      <c r="Q196" s="931">
        <f>(Q195+Q197)/2</f>
        <v>0.86450000000000005</v>
      </c>
      <c r="R196" s="933"/>
      <c r="S196" s="843"/>
      <c r="T196" s="977">
        <f t="shared" si="101"/>
        <v>1100</v>
      </c>
      <c r="U196" s="32">
        <v>992.01</v>
      </c>
      <c r="V196" s="385" t="str">
        <f t="shared" si="100"/>
        <v>1280 ̸ 1200g</v>
      </c>
      <c r="W196" s="1034">
        <f t="shared" si="98"/>
        <v>14.642711864406781</v>
      </c>
      <c r="X196" s="638">
        <v>1200</v>
      </c>
      <c r="Y196" s="628"/>
      <c r="AA196" s="606"/>
      <c r="AB196" s="606"/>
      <c r="AC196" s="606"/>
      <c r="AD196" s="606"/>
      <c r="AE196" s="606"/>
      <c r="AF196" s="606"/>
      <c r="AG196" s="606"/>
      <c r="AH196" s="125"/>
      <c r="AI196" s="125"/>
      <c r="AJ196" s="125"/>
      <c r="AK196" s="125"/>
      <c r="AL196" s="125"/>
      <c r="AM196" s="125"/>
      <c r="AN196" s="125"/>
      <c r="AO196" s="125"/>
      <c r="AP196" s="125"/>
      <c r="AQ196" s="125"/>
      <c r="AR196" s="125"/>
      <c r="AS196" s="125"/>
      <c r="AT196" s="125"/>
      <c r="AU196" s="125"/>
      <c r="AV196" s="125"/>
      <c r="AW196" s="125"/>
      <c r="AX196" s="125"/>
      <c r="AY196" s="125"/>
      <c r="AZ196" s="125"/>
      <c r="BA196" s="828"/>
    </row>
    <row r="197" spans="1:53">
      <c r="A197" s="868"/>
      <c r="B197" s="843"/>
      <c r="C197" s="843"/>
      <c r="D197" s="843"/>
      <c r="E197" s="843"/>
      <c r="F197" s="843"/>
      <c r="G197" s="843"/>
      <c r="H197" s="843"/>
      <c r="I197" s="843"/>
      <c r="J197" s="843"/>
      <c r="K197" s="843"/>
      <c r="L197" s="843"/>
      <c r="M197" s="843"/>
      <c r="N197" s="926"/>
      <c r="O197" s="926"/>
      <c r="P197" s="931">
        <v>21</v>
      </c>
      <c r="Q197" s="932">
        <v>0.85199999999999998</v>
      </c>
      <c r="R197" s="933"/>
      <c r="S197" s="843"/>
      <c r="T197" s="977">
        <f t="shared" si="101"/>
        <v>1105</v>
      </c>
      <c r="U197" s="32">
        <v>991.61</v>
      </c>
      <c r="V197" s="385" t="str">
        <f t="shared" si="100"/>
        <v>1344 ̸ 1260g</v>
      </c>
      <c r="W197" s="1034">
        <f t="shared" si="98"/>
        <v>15.414103653355987</v>
      </c>
      <c r="X197" s="638">
        <v>1260</v>
      </c>
      <c r="Y197" s="628"/>
      <c r="AA197" s="606"/>
      <c r="AB197" s="606"/>
      <c r="AC197" s="606"/>
      <c r="AD197" s="606"/>
      <c r="AE197" s="606"/>
      <c r="AF197" s="606"/>
      <c r="AG197" s="606"/>
      <c r="AH197" s="125"/>
      <c r="AI197" s="125"/>
      <c r="AJ197" s="125"/>
      <c r="AK197" s="125"/>
      <c r="AL197" s="125"/>
      <c r="AM197" s="125"/>
      <c r="AN197" s="125"/>
      <c r="AO197" s="125"/>
      <c r="AP197" s="125"/>
      <c r="AQ197" s="125"/>
      <c r="AR197" s="125"/>
      <c r="AS197" s="125"/>
      <c r="AT197" s="125"/>
      <c r="AU197" s="125"/>
      <c r="AV197" s="125"/>
      <c r="AW197" s="125"/>
      <c r="AX197" s="125"/>
      <c r="AY197" s="125"/>
      <c r="AZ197" s="125"/>
      <c r="BA197" s="828"/>
    </row>
    <row r="198" spans="1:53">
      <c r="A198" s="868"/>
      <c r="B198" s="843"/>
      <c r="C198" s="843"/>
      <c r="D198" s="843"/>
      <c r="E198" s="843"/>
      <c r="F198" s="843"/>
      <c r="G198" s="843"/>
      <c r="H198" s="843"/>
      <c r="I198" s="843"/>
      <c r="J198" s="843"/>
      <c r="K198" s="843"/>
      <c r="L198" s="843"/>
      <c r="M198" s="843"/>
      <c r="N198" s="926"/>
      <c r="O198" s="926"/>
      <c r="P198" s="931">
        <f>(P197+P199)/2</f>
        <v>21.5</v>
      </c>
      <c r="Q198" s="931">
        <f>(Q197+Q199)/2</f>
        <v>0.83949999999999991</v>
      </c>
      <c r="R198" s="933"/>
      <c r="S198" s="843"/>
      <c r="T198" s="977">
        <f t="shared" si="101"/>
        <v>1110</v>
      </c>
      <c r="U198" s="32">
        <v>991.21</v>
      </c>
      <c r="V198" s="385" t="str">
        <f t="shared" si="100"/>
        <v>1408 ̸ 1320g</v>
      </c>
      <c r="W198" s="1034">
        <f t="shared" si="98"/>
        <v>16.189437819420778</v>
      </c>
      <c r="X198" s="638">
        <v>1320</v>
      </c>
      <c r="Y198" s="628"/>
      <c r="AA198" s="606"/>
      <c r="AB198" s="606"/>
      <c r="AC198" s="606"/>
      <c r="AD198" s="606"/>
      <c r="AE198" s="606"/>
      <c r="AF198" s="606"/>
      <c r="AG198" s="606"/>
      <c r="AH198" s="125"/>
      <c r="AI198" s="125"/>
      <c r="AJ198" s="125"/>
      <c r="AK198" s="125"/>
      <c r="AL198" s="125"/>
      <c r="AM198" s="125"/>
      <c r="AN198" s="125"/>
      <c r="AO198" s="125"/>
      <c r="AP198" s="125"/>
      <c r="AQ198" s="125"/>
      <c r="AR198" s="125"/>
      <c r="AS198" s="125"/>
      <c r="AT198" s="125"/>
      <c r="AU198" s="125"/>
      <c r="AV198" s="125"/>
      <c r="AW198" s="125"/>
      <c r="AX198" s="125"/>
      <c r="AY198" s="125"/>
      <c r="AZ198" s="125"/>
      <c r="BA198" s="828"/>
    </row>
    <row r="199" spans="1:53">
      <c r="A199" s="868"/>
      <c r="B199" s="843"/>
      <c r="C199" s="843"/>
      <c r="D199" s="843"/>
      <c r="E199" s="843"/>
      <c r="F199" s="843"/>
      <c r="G199" s="843"/>
      <c r="H199" s="843"/>
      <c r="I199" s="843"/>
      <c r="J199" s="843"/>
      <c r="K199" s="843"/>
      <c r="L199" s="843"/>
      <c r="M199" s="843"/>
      <c r="N199" s="926"/>
      <c r="O199" s="926"/>
      <c r="P199" s="931">
        <v>22</v>
      </c>
      <c r="Q199" s="932">
        <v>0.82699999999999996</v>
      </c>
      <c r="R199" s="933"/>
      <c r="S199" s="843"/>
      <c r="T199" s="977">
        <f t="shared" si="101"/>
        <v>1115</v>
      </c>
      <c r="U199" s="32">
        <v>990.81</v>
      </c>
      <c r="V199" s="385" t="str">
        <f t="shared" si="100"/>
        <v>1472 ̸ 1380g</v>
      </c>
      <c r="W199" s="1034">
        <f t="shared" si="98"/>
        <v>16.968744662681477</v>
      </c>
      <c r="X199" s="638">
        <v>1380</v>
      </c>
      <c r="Y199" s="628"/>
      <c r="AA199" s="606"/>
      <c r="AB199" s="606"/>
      <c r="AC199" s="606"/>
      <c r="AD199" s="606"/>
      <c r="AE199" s="606"/>
      <c r="AF199" s="606"/>
      <c r="AG199" s="606"/>
      <c r="AH199" s="125"/>
      <c r="AI199" s="125"/>
      <c r="AJ199" s="125"/>
      <c r="AK199" s="125"/>
      <c r="AL199" s="125"/>
      <c r="AM199" s="125"/>
      <c r="AN199" s="125"/>
      <c r="AO199" s="125"/>
      <c r="AP199" s="125"/>
      <c r="AQ199" s="125"/>
      <c r="AR199" s="125"/>
      <c r="AS199" s="125"/>
      <c r="AT199" s="125"/>
      <c r="AU199" s="125"/>
      <c r="AV199" s="125"/>
      <c r="AW199" s="125"/>
      <c r="AX199" s="125"/>
      <c r="AY199" s="125"/>
      <c r="AZ199" s="125"/>
      <c r="BA199" s="828"/>
    </row>
    <row r="200" spans="1:53">
      <c r="A200" s="868"/>
      <c r="B200" s="843"/>
      <c r="C200" s="843"/>
      <c r="D200" s="843"/>
      <c r="E200" s="843"/>
      <c r="F200" s="843"/>
      <c r="G200" s="843"/>
      <c r="H200" s="843"/>
      <c r="I200" s="843"/>
      <c r="J200" s="843"/>
      <c r="K200" s="843"/>
      <c r="L200" s="843"/>
      <c r="M200" s="843"/>
      <c r="N200" s="926"/>
      <c r="O200" s="926"/>
      <c r="P200" s="931">
        <f>(P199+P201)/2</f>
        <v>22.5</v>
      </c>
      <c r="Q200" s="931">
        <f>(Q199+Q201)/2</f>
        <v>0.8145</v>
      </c>
      <c r="R200" s="933"/>
      <c r="S200" s="843"/>
      <c r="T200" s="977">
        <f t="shared" si="101"/>
        <v>1120</v>
      </c>
      <c r="U200" s="32">
        <v>990.41</v>
      </c>
      <c r="V200" s="385" t="str">
        <f t="shared" si="100"/>
        <v>1536 ̸ 1440g</v>
      </c>
      <c r="W200" s="1034">
        <f t="shared" si="98"/>
        <v>17.752054794520554</v>
      </c>
      <c r="X200" s="638">
        <v>1440</v>
      </c>
      <c r="Y200" s="628"/>
      <c r="AA200" s="606"/>
      <c r="AB200" s="606"/>
      <c r="AC200" s="606"/>
      <c r="AD200" s="606"/>
      <c r="AE200" s="606"/>
      <c r="AF200" s="606"/>
      <c r="AG200" s="606"/>
      <c r="AH200" s="125"/>
      <c r="AI200" s="125"/>
      <c r="AJ200" s="125"/>
      <c r="AK200" s="125"/>
      <c r="AL200" s="125"/>
      <c r="AM200" s="125"/>
      <c r="AN200" s="125"/>
      <c r="AO200" s="125"/>
      <c r="AP200" s="125"/>
      <c r="AQ200" s="125"/>
      <c r="AR200" s="125"/>
      <c r="AS200" s="125"/>
      <c r="AT200" s="125"/>
      <c r="AU200" s="125"/>
      <c r="AV200" s="125"/>
      <c r="AW200" s="125"/>
      <c r="AX200" s="125"/>
      <c r="AY200" s="125"/>
      <c r="AZ200" s="125"/>
      <c r="BA200" s="828"/>
    </row>
    <row r="201" spans="1:53">
      <c r="A201" s="868"/>
      <c r="B201" s="843"/>
      <c r="C201" s="843"/>
      <c r="D201" s="843"/>
      <c r="E201" s="843"/>
      <c r="F201" s="843"/>
      <c r="G201" s="843"/>
      <c r="H201" s="843"/>
      <c r="I201" s="843"/>
      <c r="J201" s="843"/>
      <c r="K201" s="843"/>
      <c r="L201" s="843"/>
      <c r="M201" s="843"/>
      <c r="N201" s="926"/>
      <c r="O201" s="926"/>
      <c r="P201" s="931">
        <v>23</v>
      </c>
      <c r="Q201" s="932">
        <v>0.80200000000000005</v>
      </c>
      <c r="R201" s="933"/>
      <c r="S201" s="843"/>
      <c r="T201" s="977">
        <f t="shared" si="101"/>
        <v>1125</v>
      </c>
      <c r="U201" s="32">
        <v>990.01</v>
      </c>
      <c r="V201" s="385" t="str">
        <f t="shared" si="100"/>
        <v>1600 ̸ 1500g</v>
      </c>
      <c r="W201" s="1034">
        <f t="shared" si="98"/>
        <v>18.539399141630902</v>
      </c>
      <c r="X201" s="638">
        <v>1500</v>
      </c>
      <c r="Y201" s="628"/>
      <c r="AA201" s="606"/>
      <c r="AB201" s="606"/>
      <c r="AC201" s="606"/>
      <c r="AD201" s="606"/>
      <c r="AE201" s="606"/>
      <c r="AF201" s="606"/>
      <c r="AG201" s="606"/>
      <c r="AH201" s="125"/>
      <c r="AI201" s="125"/>
      <c r="AJ201" s="125"/>
      <c r="AK201" s="125"/>
      <c r="AL201" s="125"/>
      <c r="AM201" s="125"/>
      <c r="AN201" s="125"/>
      <c r="AO201" s="125"/>
      <c r="AP201" s="125"/>
      <c r="AQ201" s="125"/>
      <c r="AR201" s="125"/>
      <c r="AS201" s="125"/>
      <c r="AT201" s="125"/>
      <c r="AU201" s="125"/>
      <c r="AV201" s="125"/>
      <c r="AW201" s="125"/>
      <c r="AX201" s="125"/>
      <c r="AY201" s="125"/>
      <c r="AZ201" s="125"/>
      <c r="BA201" s="828"/>
    </row>
    <row r="202" spans="1:53">
      <c r="A202" s="868"/>
      <c r="B202" s="843"/>
      <c r="C202" s="843"/>
      <c r="D202" s="843"/>
      <c r="E202" s="843"/>
      <c r="F202" s="843"/>
      <c r="G202" s="843"/>
      <c r="H202" s="843"/>
      <c r="I202" s="843"/>
      <c r="J202" s="843"/>
      <c r="K202" s="843"/>
      <c r="L202" s="843"/>
      <c r="M202" s="843"/>
      <c r="N202" s="926"/>
      <c r="O202" s="926"/>
      <c r="P202" s="931">
        <f>(P201+P203)/2</f>
        <v>23.5</v>
      </c>
      <c r="Q202" s="931">
        <f>(Q201+Q203)/2</f>
        <v>0.79150000000000009</v>
      </c>
      <c r="R202" s="933"/>
      <c r="S202" s="843"/>
      <c r="T202" s="977">
        <f t="shared" si="101"/>
        <v>1130</v>
      </c>
      <c r="U202" s="32">
        <v>989.61</v>
      </c>
      <c r="V202" s="385" t="str">
        <f t="shared" si="100"/>
        <v>1664 ̸ 1560g</v>
      </c>
      <c r="W202" s="1034">
        <f t="shared" si="98"/>
        <v>19.330808950086055</v>
      </c>
      <c r="X202" s="638">
        <v>1560</v>
      </c>
      <c r="Y202" s="628"/>
      <c r="AA202" s="606"/>
      <c r="AB202" s="606"/>
      <c r="AC202" s="606"/>
      <c r="AD202" s="606"/>
      <c r="AE202" s="606"/>
      <c r="AF202" s="606"/>
      <c r="AG202" s="606"/>
      <c r="AH202" s="125"/>
      <c r="AI202" s="125"/>
      <c r="AJ202" s="125"/>
      <c r="AK202" s="125"/>
      <c r="AL202" s="125"/>
      <c r="AM202" s="125"/>
      <c r="AN202" s="125"/>
      <c r="AO202" s="125"/>
      <c r="AP202" s="125"/>
      <c r="AQ202" s="125"/>
      <c r="AR202" s="125"/>
      <c r="AS202" s="125"/>
      <c r="AT202" s="125"/>
      <c r="AU202" s="125"/>
      <c r="AV202" s="125"/>
      <c r="AW202" s="125"/>
      <c r="AX202" s="125"/>
      <c r="AY202" s="125"/>
      <c r="AZ202" s="125"/>
      <c r="BA202" s="828"/>
    </row>
    <row r="203" spans="1:53">
      <c r="A203" s="868"/>
      <c r="B203" s="843"/>
      <c r="C203" s="843"/>
      <c r="D203" s="843"/>
      <c r="E203" s="843"/>
      <c r="F203" s="843"/>
      <c r="G203" s="843"/>
      <c r="H203" s="843"/>
      <c r="I203" s="843"/>
      <c r="J203" s="843"/>
      <c r="K203" s="843"/>
      <c r="L203" s="843"/>
      <c r="M203" s="843"/>
      <c r="N203" s="926"/>
      <c r="O203" s="926"/>
      <c r="P203" s="931">
        <v>24</v>
      </c>
      <c r="Q203" s="932">
        <v>0.78100000000000003</v>
      </c>
      <c r="R203" s="929"/>
      <c r="S203" s="843"/>
      <c r="T203" s="977">
        <f t="shared" si="101"/>
        <v>1135</v>
      </c>
      <c r="U203" s="32">
        <v>989.21</v>
      </c>
      <c r="V203" s="385" t="str">
        <f t="shared" si="100"/>
        <v>1728 ̸ 1620g</v>
      </c>
      <c r="W203" s="1034">
        <f t="shared" si="98"/>
        <v>20.126315789473679</v>
      </c>
      <c r="X203" s="638">
        <v>1620</v>
      </c>
      <c r="Y203" s="628"/>
      <c r="AA203" s="606"/>
      <c r="AB203" s="606"/>
      <c r="AC203" s="606"/>
      <c r="AD203" s="606"/>
      <c r="AE203" s="606"/>
      <c r="AF203" s="606"/>
      <c r="AG203" s="606"/>
      <c r="AH203" s="125"/>
      <c r="AI203" s="125"/>
      <c r="AJ203" s="125"/>
      <c r="AK203" s="125"/>
      <c r="AL203" s="125"/>
      <c r="AM203" s="125"/>
      <c r="AN203" s="125"/>
      <c r="AO203" s="125"/>
      <c r="AP203" s="125"/>
      <c r="AQ203" s="125"/>
      <c r="AR203" s="125"/>
      <c r="AS203" s="125"/>
      <c r="AT203" s="125"/>
      <c r="AU203" s="125"/>
      <c r="AV203" s="125"/>
      <c r="AW203" s="125"/>
      <c r="AX203" s="125"/>
      <c r="AY203" s="125"/>
      <c r="AZ203" s="125"/>
      <c r="BA203" s="828"/>
    </row>
    <row r="204" spans="1:53">
      <c r="A204" s="868"/>
      <c r="B204" s="843"/>
      <c r="C204" s="843"/>
      <c r="D204" s="843"/>
      <c r="E204" s="843"/>
      <c r="F204" s="843"/>
      <c r="G204" s="843"/>
      <c r="H204" s="843"/>
      <c r="I204" s="843"/>
      <c r="J204" s="843"/>
      <c r="K204" s="843"/>
      <c r="L204" s="843"/>
      <c r="M204" s="843"/>
      <c r="N204" s="926"/>
      <c r="O204" s="926"/>
      <c r="P204" s="931">
        <f>(P203+P205)/2</f>
        <v>24.5</v>
      </c>
      <c r="Q204" s="931">
        <f>(Q203+Q205)/2</f>
        <v>0.77</v>
      </c>
      <c r="R204" s="929"/>
      <c r="S204" s="843"/>
      <c r="T204" s="977">
        <f t="shared" si="101"/>
        <v>1140</v>
      </c>
      <c r="U204" s="32">
        <v>988.81</v>
      </c>
      <c r="V204" s="385" t="str">
        <f t="shared" si="100"/>
        <v>1792 ̸ 1680g</v>
      </c>
      <c r="W204" s="1034">
        <f t="shared" si="98"/>
        <v>20.925951557093434</v>
      </c>
      <c r="X204" s="638">
        <v>1680</v>
      </c>
      <c r="Y204" s="628"/>
      <c r="AA204" s="606"/>
      <c r="AB204" s="606"/>
      <c r="AC204" s="606"/>
      <c r="AD204" s="606"/>
      <c r="AE204" s="606"/>
      <c r="AF204" s="606"/>
      <c r="AG204" s="606"/>
      <c r="AH204" s="125"/>
      <c r="AI204" s="125"/>
      <c r="AJ204" s="125"/>
      <c r="AK204" s="125"/>
      <c r="AL204" s="125"/>
      <c r="AM204" s="125"/>
      <c r="AN204" s="125"/>
      <c r="AO204" s="125"/>
      <c r="AP204" s="125"/>
      <c r="AQ204" s="125"/>
      <c r="AR204" s="125"/>
      <c r="AS204" s="125"/>
      <c r="AT204" s="125"/>
      <c r="AU204" s="125"/>
      <c r="AV204" s="125"/>
      <c r="AW204" s="125"/>
      <c r="AX204" s="125"/>
      <c r="AY204" s="125"/>
      <c r="AZ204" s="125"/>
      <c r="BA204" s="828"/>
    </row>
    <row r="205" spans="1:53">
      <c r="A205" s="868"/>
      <c r="B205" s="843"/>
      <c r="C205" s="843"/>
      <c r="D205" s="843"/>
      <c r="E205" s="843"/>
      <c r="F205" s="843"/>
      <c r="G205" s="843"/>
      <c r="H205" s="843"/>
      <c r="I205" s="843"/>
      <c r="J205" s="843"/>
      <c r="K205" s="843"/>
      <c r="L205" s="843"/>
      <c r="M205" s="843"/>
      <c r="N205" s="926"/>
      <c r="O205" s="926"/>
      <c r="P205" s="931">
        <v>25</v>
      </c>
      <c r="Q205" s="932">
        <v>0.75900000000000001</v>
      </c>
      <c r="R205" s="929"/>
      <c r="S205" s="843"/>
      <c r="T205" s="977">
        <f t="shared" si="101"/>
        <v>1145</v>
      </c>
      <c r="U205" s="32">
        <v>988.41</v>
      </c>
      <c r="V205" s="385" t="str">
        <f t="shared" si="100"/>
        <v>1856 ̸ 1740g</v>
      </c>
      <c r="W205" s="1034">
        <f t="shared" si="98"/>
        <v>21.729748482220298</v>
      </c>
      <c r="X205" s="638">
        <v>1740</v>
      </c>
      <c r="Y205" s="628"/>
      <c r="AA205" s="606"/>
      <c r="AB205" s="606"/>
      <c r="AC205" s="606"/>
      <c r="AD205" s="606"/>
      <c r="AE205" s="606"/>
      <c r="AF205" s="606"/>
      <c r="AG205" s="606"/>
      <c r="AH205" s="125"/>
      <c r="AI205" s="125"/>
      <c r="AJ205" s="125"/>
      <c r="AK205" s="125"/>
      <c r="AL205" s="125"/>
      <c r="AM205" s="125"/>
      <c r="AN205" s="125"/>
      <c r="AO205" s="125"/>
      <c r="AP205" s="125"/>
      <c r="AQ205" s="125"/>
      <c r="AR205" s="125"/>
      <c r="AS205" s="125"/>
      <c r="AT205" s="125"/>
      <c r="AU205" s="125"/>
      <c r="AV205" s="125"/>
      <c r="AW205" s="125"/>
      <c r="AX205" s="125"/>
      <c r="AY205" s="125"/>
      <c r="AZ205" s="125"/>
      <c r="BA205" s="828"/>
    </row>
    <row r="206" spans="1:53">
      <c r="A206" s="868"/>
      <c r="B206" s="843"/>
      <c r="C206" s="843"/>
      <c r="D206" s="843"/>
      <c r="E206" s="843"/>
      <c r="F206" s="843"/>
      <c r="G206" s="843"/>
      <c r="H206" s="843"/>
      <c r="I206" s="843"/>
      <c r="J206" s="843"/>
      <c r="K206" s="843"/>
      <c r="L206" s="843"/>
      <c r="M206" s="843"/>
      <c r="N206" s="926"/>
      <c r="O206" s="926"/>
      <c r="P206" s="931">
        <f>(P205+P207)/2</f>
        <v>25.5</v>
      </c>
      <c r="Q206" s="931">
        <f>(Q205+Q207)/2</f>
        <v>0.74849999999999994</v>
      </c>
      <c r="R206" s="929"/>
      <c r="S206" s="843"/>
      <c r="T206" s="977">
        <f t="shared" si="101"/>
        <v>1150</v>
      </c>
      <c r="U206" s="32">
        <v>988.01</v>
      </c>
      <c r="V206" s="385" t="str">
        <f t="shared" si="100"/>
        <v>1920 ̸ 1800g</v>
      </c>
      <c r="W206" s="1034">
        <f t="shared" si="98"/>
        <v>22.537739130434783</v>
      </c>
      <c r="X206" s="638">
        <v>1800</v>
      </c>
      <c r="Y206" s="628"/>
      <c r="AA206" s="606"/>
      <c r="AB206" s="606"/>
      <c r="AC206" s="606"/>
      <c r="AD206" s="606"/>
      <c r="AE206" s="606"/>
      <c r="AF206" s="606"/>
      <c r="AG206" s="606"/>
      <c r="AH206" s="125"/>
      <c r="AI206" s="125"/>
      <c r="AJ206" s="125"/>
      <c r="AK206" s="125"/>
      <c r="AL206" s="125"/>
      <c r="AM206" s="125"/>
      <c r="AN206" s="125"/>
      <c r="AO206" s="125"/>
      <c r="AP206" s="125"/>
      <c r="AQ206" s="125"/>
      <c r="AR206" s="125"/>
      <c r="AS206" s="125"/>
      <c r="AT206" s="125"/>
      <c r="AU206" s="125"/>
      <c r="AV206" s="125"/>
      <c r="AW206" s="125"/>
      <c r="AX206" s="125"/>
      <c r="AY206" s="125"/>
      <c r="AZ206" s="125"/>
      <c r="BA206" s="828"/>
    </row>
    <row r="207" spans="1:53">
      <c r="A207" s="868"/>
      <c r="B207" s="843"/>
      <c r="C207" s="843"/>
      <c r="D207" s="843"/>
      <c r="E207" s="843"/>
      <c r="F207" s="843"/>
      <c r="G207" s="843"/>
      <c r="H207" s="843"/>
      <c r="I207" s="843"/>
      <c r="J207" s="843"/>
      <c r="K207" s="843"/>
      <c r="L207" s="843"/>
      <c r="M207" s="843"/>
      <c r="N207" s="926"/>
      <c r="O207" s="926"/>
      <c r="P207" s="931">
        <v>26</v>
      </c>
      <c r="Q207" s="932">
        <v>0.73799999999999999</v>
      </c>
      <c r="R207" s="929"/>
      <c r="S207" s="843"/>
      <c r="T207" s="977">
        <f t="shared" si="101"/>
        <v>1155</v>
      </c>
      <c r="U207" s="32">
        <v>987.61</v>
      </c>
      <c r="V207" s="385" t="str">
        <f t="shared" si="100"/>
        <v>1984 ̸ 1860g</v>
      </c>
      <c r="W207" s="1034">
        <f t="shared" si="98"/>
        <v>23.349956408020923</v>
      </c>
      <c r="X207" s="638">
        <v>1860</v>
      </c>
      <c r="Y207" s="628"/>
      <c r="AA207" s="606"/>
      <c r="AB207" s="606"/>
      <c r="AC207" s="606"/>
      <c r="AD207" s="606"/>
      <c r="AE207" s="606"/>
      <c r="AF207" s="606"/>
      <c r="AG207" s="606"/>
      <c r="AH207" s="125"/>
      <c r="AI207" s="125"/>
      <c r="AJ207" s="125"/>
      <c r="AK207" s="125"/>
      <c r="AL207" s="125"/>
      <c r="AM207" s="125"/>
      <c r="AN207" s="125"/>
      <c r="AO207" s="125"/>
      <c r="AP207" s="125"/>
      <c r="AQ207" s="125"/>
      <c r="AR207" s="125"/>
      <c r="AS207" s="125"/>
      <c r="AT207" s="125"/>
      <c r="AU207" s="125"/>
      <c r="AV207" s="125"/>
      <c r="AW207" s="125"/>
      <c r="AX207" s="125"/>
      <c r="AY207" s="125"/>
      <c r="AZ207" s="125"/>
      <c r="BA207" s="828"/>
    </row>
    <row r="208" spans="1:53" ht="18" customHeight="1">
      <c r="A208" s="868"/>
      <c r="B208" s="843"/>
      <c r="C208" s="843"/>
      <c r="D208" s="843"/>
      <c r="E208" s="843"/>
      <c r="F208" s="843"/>
      <c r="G208" s="843"/>
      <c r="H208" s="843"/>
      <c r="I208" s="843"/>
      <c r="J208" s="843"/>
      <c r="K208" s="843"/>
      <c r="L208" s="843"/>
      <c r="M208" s="843"/>
      <c r="N208" s="926"/>
      <c r="O208" s="926"/>
      <c r="P208" s="931">
        <v>27</v>
      </c>
      <c r="Q208" s="932">
        <v>0.71799999999999997</v>
      </c>
      <c r="R208" s="929"/>
      <c r="S208" s="843"/>
      <c r="T208" s="466" t="s">
        <v>645</v>
      </c>
      <c r="U208" s="388"/>
      <c r="V208" s="388"/>
      <c r="W208" s="388"/>
      <c r="X208" s="637"/>
      <c r="Y208" s="628"/>
      <c r="Z208" s="606"/>
      <c r="AA208" s="606"/>
      <c r="AB208" s="606"/>
      <c r="AC208" s="606"/>
      <c r="AD208" s="606"/>
      <c r="AE208" s="606"/>
      <c r="AF208" s="606"/>
      <c r="AG208" s="606"/>
      <c r="AH208" s="125"/>
      <c r="AI208" s="125"/>
      <c r="AJ208" s="125"/>
      <c r="AK208" s="125"/>
      <c r="AL208" s="125"/>
      <c r="AM208" s="125"/>
      <c r="AN208" s="125"/>
      <c r="AO208" s="125"/>
      <c r="AP208" s="125"/>
      <c r="AQ208" s="125"/>
      <c r="AR208" s="125"/>
      <c r="AS208" s="125"/>
      <c r="AT208" s="125"/>
      <c r="AU208" s="125"/>
      <c r="AV208" s="125"/>
      <c r="AW208" s="125"/>
      <c r="AX208" s="125"/>
      <c r="AY208" s="125"/>
      <c r="AZ208" s="125"/>
      <c r="BA208" s="828"/>
    </row>
    <row r="209" spans="1:53" ht="13.9" customHeight="1">
      <c r="A209" s="868"/>
      <c r="B209" s="843"/>
      <c r="C209" s="843"/>
      <c r="D209" s="843"/>
      <c r="E209" s="843"/>
      <c r="F209" s="843"/>
      <c r="G209" s="843"/>
      <c r="H209" s="843"/>
      <c r="I209" s="843"/>
      <c r="J209" s="843"/>
      <c r="K209" s="843"/>
      <c r="L209" s="843"/>
      <c r="M209" s="843"/>
      <c r="N209" s="926"/>
      <c r="O209" s="926"/>
      <c r="P209" s="931">
        <v>28</v>
      </c>
      <c r="Q209" s="932">
        <v>0.69899999999999995</v>
      </c>
      <c r="R209" s="929"/>
      <c r="S209" s="843"/>
      <c r="T209" s="1452" t="str">
        <f>"In a must of "&amp;FIXED(U164)&amp;" litres, 100g of sugar (sucrose) will produce the same effect as "&amp;1*FIXED(U165/U$164)*100&amp;"g in "&amp;U165&amp;" litres of finished, bottled wine. The sugar content includes the juice &amp;/or fruit, some of which may be hidden. Un-fermentable sugars will also be included in these figures."</f>
        <v>In a must of 4.80 litres, 100g of sugar (sucrose) will produce the same effect as 94g in 4.5 litres of finished, bottled wine. The sugar content includes the juice &amp;/or fruit, some of which may be hidden. Un-fermentable sugars will also be included in these figures.</v>
      </c>
      <c r="U209" s="1452"/>
      <c r="V209" s="1452"/>
      <c r="W209" s="1452"/>
      <c r="X209" s="639"/>
      <c r="Y209" s="628"/>
      <c r="Z209" s="606"/>
      <c r="AA209" s="606"/>
      <c r="AB209" s="606"/>
      <c r="AC209" s="606"/>
      <c r="AD209" s="606"/>
      <c r="AE209" s="606"/>
      <c r="AF209" s="606"/>
      <c r="AG209" s="606"/>
      <c r="AH209" s="125"/>
      <c r="AI209" s="125"/>
      <c r="AJ209" s="125"/>
      <c r="AK209" s="125"/>
      <c r="AL209" s="125"/>
      <c r="AM209" s="125"/>
      <c r="AN209" s="125"/>
      <c r="AO209" s="125"/>
      <c r="AP209" s="125"/>
      <c r="AQ209" s="125"/>
      <c r="AR209" s="125"/>
      <c r="AS209" s="125"/>
      <c r="AT209" s="125"/>
      <c r="AU209" s="125"/>
      <c r="AV209" s="125"/>
      <c r="AW209" s="125"/>
      <c r="AX209" s="125"/>
      <c r="AY209" s="125"/>
      <c r="AZ209" s="125"/>
      <c r="BA209" s="828"/>
    </row>
    <row r="210" spans="1:53">
      <c r="A210" s="868"/>
      <c r="B210" s="843"/>
      <c r="C210" s="843"/>
      <c r="D210" s="843"/>
      <c r="E210" s="843"/>
      <c r="F210" s="843"/>
      <c r="G210" s="843"/>
      <c r="H210" s="843"/>
      <c r="I210" s="843"/>
      <c r="J210" s="843"/>
      <c r="K210" s="843"/>
      <c r="L210" s="843"/>
      <c r="M210" s="843"/>
      <c r="N210" s="926"/>
      <c r="O210" s="926"/>
      <c r="P210" s="931">
        <v>29</v>
      </c>
      <c r="Q210" s="932">
        <v>0.68200000000000005</v>
      </c>
      <c r="R210" s="929"/>
      <c r="S210" s="843"/>
      <c r="T210" s="1452"/>
      <c r="U210" s="1452"/>
      <c r="V210" s="1452"/>
      <c r="W210" s="1452"/>
      <c r="X210" s="843"/>
      <c r="Y210" s="628"/>
      <c r="Z210" s="606"/>
      <c r="AA210" s="606"/>
      <c r="AB210" s="606"/>
      <c r="AC210" s="606"/>
      <c r="AD210" s="606"/>
      <c r="AE210" s="606"/>
      <c r="AF210" s="606"/>
      <c r="AG210" s="606"/>
      <c r="AH210" s="125"/>
      <c r="AI210" s="125"/>
      <c r="AJ210" s="125"/>
      <c r="AK210" s="125"/>
      <c r="AL210" s="125"/>
      <c r="AM210" s="125"/>
      <c r="AN210" s="125"/>
      <c r="AO210" s="125"/>
      <c r="AP210" s="125"/>
      <c r="AQ210" s="125"/>
      <c r="AR210" s="125"/>
      <c r="AS210" s="125"/>
      <c r="AT210" s="125"/>
      <c r="AU210" s="125"/>
      <c r="AV210" s="125"/>
      <c r="AW210" s="125"/>
      <c r="AX210" s="125"/>
      <c r="AY210" s="125"/>
      <c r="AZ210" s="125"/>
      <c r="BA210" s="828"/>
    </row>
    <row r="211" spans="1:53">
      <c r="A211" s="868"/>
      <c r="B211" s="843"/>
      <c r="C211" s="843"/>
      <c r="D211" s="843"/>
      <c r="E211" s="843"/>
      <c r="F211" s="843"/>
      <c r="G211" s="843"/>
      <c r="H211" s="843"/>
      <c r="I211" s="843"/>
      <c r="J211" s="843"/>
      <c r="K211" s="843"/>
      <c r="L211" s="843"/>
      <c r="M211" s="843"/>
      <c r="N211" s="926"/>
      <c r="O211" s="926"/>
      <c r="P211" s="931">
        <v>30</v>
      </c>
      <c r="Q211" s="932">
        <v>0.66500000000000004</v>
      </c>
      <c r="R211" s="929"/>
      <c r="S211" s="843"/>
      <c r="T211" s="1452"/>
      <c r="U211" s="1452"/>
      <c r="V211" s="1452"/>
      <c r="W211" s="1452"/>
      <c r="X211" s="843"/>
      <c r="Y211" s="628"/>
      <c r="Z211" s="606"/>
      <c r="AA211" s="606"/>
      <c r="AB211" s="606"/>
      <c r="AC211" s="606"/>
      <c r="AD211" s="606"/>
      <c r="AE211" s="606"/>
      <c r="AF211" s="606"/>
      <c r="AG211" s="606"/>
      <c r="AH211" s="125"/>
      <c r="AI211" s="125"/>
      <c r="AJ211" s="125"/>
      <c r="AK211" s="125"/>
      <c r="AL211" s="125"/>
      <c r="AM211" s="125"/>
      <c r="AN211" s="125"/>
      <c r="AO211" s="125"/>
      <c r="AP211" s="125"/>
      <c r="AQ211" s="125"/>
      <c r="AR211" s="125"/>
      <c r="AS211" s="125"/>
      <c r="AT211" s="125"/>
      <c r="AU211" s="125"/>
      <c r="AV211" s="125"/>
      <c r="AW211" s="125"/>
      <c r="AX211" s="125"/>
      <c r="AY211" s="125"/>
      <c r="AZ211" s="125"/>
      <c r="BA211" s="828"/>
    </row>
    <row r="212" spans="1:53">
      <c r="A212" s="868"/>
      <c r="B212" s="843"/>
      <c r="C212" s="843"/>
      <c r="D212" s="843"/>
      <c r="E212" s="843"/>
      <c r="F212" s="843"/>
      <c r="G212" s="843"/>
      <c r="H212" s="843"/>
      <c r="I212" s="843"/>
      <c r="J212" s="843"/>
      <c r="K212" s="843"/>
      <c r="L212" s="843"/>
      <c r="M212" s="843"/>
      <c r="N212" s="926"/>
      <c r="O212" s="926"/>
      <c r="P212" s="926"/>
      <c r="Q212" s="926"/>
      <c r="R212" s="926"/>
      <c r="S212" s="843"/>
      <c r="T212" s="1452"/>
      <c r="U212" s="1452"/>
      <c r="V212" s="1452"/>
      <c r="W212" s="1452"/>
      <c r="X212" s="843"/>
      <c r="Y212" s="628"/>
      <c r="Z212" s="606"/>
      <c r="AA212" s="606"/>
      <c r="AB212" s="606"/>
      <c r="AC212" s="606"/>
      <c r="AD212" s="606"/>
      <c r="AE212" s="606"/>
      <c r="AF212" s="606"/>
      <c r="AG212" s="606"/>
      <c r="AH212" s="125"/>
      <c r="AI212" s="125"/>
      <c r="AJ212" s="125"/>
      <c r="AK212" s="125"/>
      <c r="AL212" s="125"/>
      <c r="AM212" s="125"/>
      <c r="AN212" s="125"/>
      <c r="AO212" s="125"/>
      <c r="AP212" s="125"/>
      <c r="AQ212" s="125"/>
      <c r="AR212" s="125"/>
      <c r="AS212" s="125"/>
      <c r="AT212" s="125"/>
      <c r="AU212" s="125"/>
      <c r="AV212" s="125"/>
      <c r="AW212" s="125"/>
      <c r="AX212" s="125"/>
      <c r="AY212" s="125"/>
      <c r="AZ212" s="125"/>
      <c r="BA212" s="828"/>
    </row>
    <row r="213" spans="1:53">
      <c r="A213" s="868"/>
      <c r="B213" s="843"/>
      <c r="C213" s="843"/>
      <c r="D213" s="843"/>
      <c r="E213" s="843"/>
      <c r="F213" s="843"/>
      <c r="G213" s="843"/>
      <c r="H213" s="843"/>
      <c r="I213" s="843"/>
      <c r="J213" s="843"/>
      <c r="K213" s="843"/>
      <c r="L213" s="843"/>
      <c r="M213" s="843"/>
      <c r="N213" s="926"/>
      <c r="O213" s="926"/>
      <c r="P213" s="926"/>
      <c r="Q213" s="926"/>
      <c r="R213" s="926"/>
      <c r="S213" s="843"/>
      <c r="T213" s="1452"/>
      <c r="U213" s="1452"/>
      <c r="V213" s="1452"/>
      <c r="W213" s="1452"/>
      <c r="X213" s="843"/>
      <c r="Y213" s="628"/>
      <c r="Z213" s="606"/>
      <c r="AA213" s="606"/>
      <c r="AB213" s="606"/>
      <c r="AC213" s="606"/>
      <c r="AD213" s="606"/>
      <c r="AE213" s="606"/>
      <c r="AF213" s="606"/>
      <c r="AG213" s="606"/>
      <c r="AH213" s="125"/>
      <c r="AI213" s="125"/>
      <c r="AJ213" s="125"/>
      <c r="AK213" s="125"/>
      <c r="AL213" s="125"/>
      <c r="AM213" s="125"/>
      <c r="AN213" s="125"/>
      <c r="AO213" s="125"/>
      <c r="AP213" s="125"/>
      <c r="AQ213" s="125"/>
      <c r="AR213" s="125"/>
      <c r="AS213" s="125"/>
      <c r="AT213" s="125"/>
      <c r="AU213" s="125"/>
      <c r="AV213" s="125"/>
      <c r="AW213" s="125"/>
      <c r="AX213" s="125"/>
      <c r="AY213" s="125"/>
      <c r="AZ213" s="125"/>
      <c r="BA213" s="828"/>
    </row>
    <row r="214" spans="1:53">
      <c r="A214" s="868"/>
      <c r="B214" s="843"/>
      <c r="C214" s="843"/>
      <c r="D214" s="843"/>
      <c r="E214" s="843"/>
      <c r="F214" s="843"/>
      <c r="G214" s="843"/>
      <c r="H214" s="843"/>
      <c r="I214" s="843"/>
      <c r="J214" s="843"/>
      <c r="K214" s="843"/>
      <c r="L214" s="843"/>
      <c r="M214" s="843"/>
      <c r="N214" s="843"/>
      <c r="O214" s="843"/>
      <c r="P214" s="926"/>
      <c r="Q214" s="926"/>
      <c r="R214" s="843"/>
      <c r="S214" s="843"/>
      <c r="T214" s="1452"/>
      <c r="U214" s="1452"/>
      <c r="V214" s="1452"/>
      <c r="W214" s="1452"/>
      <c r="X214" s="843"/>
      <c r="Y214" s="628"/>
      <c r="Z214" s="606"/>
      <c r="AA214" s="606"/>
      <c r="AB214" s="606"/>
      <c r="AC214" s="606"/>
      <c r="AD214" s="606"/>
      <c r="AE214" s="606"/>
      <c r="AF214" s="606"/>
      <c r="AG214" s="606"/>
      <c r="AH214" s="125"/>
      <c r="AI214" s="125"/>
      <c r="AJ214" s="125"/>
      <c r="AK214" s="125"/>
      <c r="AL214" s="125"/>
      <c r="AM214" s="125"/>
      <c r="AN214" s="125"/>
      <c r="AO214" s="125"/>
      <c r="AP214" s="125"/>
      <c r="AQ214" s="125"/>
      <c r="AR214" s="125"/>
      <c r="AS214" s="125"/>
      <c r="AT214" s="125"/>
      <c r="AU214" s="125"/>
      <c r="AV214" s="125"/>
      <c r="AW214" s="125"/>
      <c r="AX214" s="125"/>
      <c r="AY214" s="125"/>
      <c r="AZ214" s="125"/>
      <c r="BA214" s="828"/>
    </row>
    <row r="215" spans="1:53" ht="13.9" customHeight="1">
      <c r="A215" s="868"/>
      <c r="B215" s="843"/>
      <c r="C215" s="843"/>
      <c r="D215" s="843"/>
      <c r="E215" s="843"/>
      <c r="F215" s="843"/>
      <c r="G215" s="843"/>
      <c r="H215" s="843"/>
      <c r="I215" s="843"/>
      <c r="J215" s="843"/>
      <c r="K215" s="843"/>
      <c r="L215" s="843"/>
      <c r="M215" s="843"/>
      <c r="N215" s="843"/>
      <c r="O215" s="843"/>
      <c r="P215" s="926"/>
      <c r="Q215" s="926"/>
      <c r="R215" s="843"/>
      <c r="S215" s="843"/>
      <c r="T215" s="1453" t="s">
        <v>646</v>
      </c>
      <c r="U215" s="1453"/>
      <c r="V215" s="1453"/>
      <c r="W215" s="1453"/>
      <c r="X215" s="843"/>
      <c r="Y215" s="628"/>
      <c r="Z215" s="606"/>
      <c r="AA215" s="606"/>
      <c r="AB215" s="606"/>
      <c r="AC215" s="606"/>
      <c r="AD215" s="606"/>
      <c r="AE215" s="606"/>
      <c r="AF215" s="606"/>
      <c r="AG215" s="606"/>
      <c r="AH215" s="125"/>
      <c r="AI215" s="125"/>
      <c r="AJ215" s="125"/>
      <c r="AK215" s="125"/>
      <c r="AL215" s="125"/>
      <c r="AM215" s="125"/>
      <c r="AN215" s="125"/>
      <c r="AO215" s="125"/>
      <c r="AP215" s="125"/>
      <c r="AQ215" s="125"/>
      <c r="AR215" s="125"/>
      <c r="AS215" s="125"/>
      <c r="AT215" s="125"/>
      <c r="AU215" s="125"/>
      <c r="AV215" s="125"/>
      <c r="AW215" s="125"/>
      <c r="AX215" s="125"/>
      <c r="AY215" s="125"/>
      <c r="AZ215" s="125"/>
      <c r="BA215" s="828"/>
    </row>
    <row r="216" spans="1:53">
      <c r="A216" s="868"/>
      <c r="B216" s="843"/>
      <c r="C216" s="843"/>
      <c r="D216" s="843"/>
      <c r="E216" s="843"/>
      <c r="F216" s="843"/>
      <c r="G216" s="843"/>
      <c r="H216" s="843"/>
      <c r="I216" s="843"/>
      <c r="J216" s="843"/>
      <c r="K216" s="843"/>
      <c r="L216" s="843"/>
      <c r="M216" s="843"/>
      <c r="N216" s="843"/>
      <c r="O216" s="843"/>
      <c r="P216" s="926"/>
      <c r="Q216" s="926"/>
      <c r="R216" s="843"/>
      <c r="S216" s="843"/>
      <c r="T216" s="1453"/>
      <c r="U216" s="1453"/>
      <c r="V216" s="1453"/>
      <c r="W216" s="1453"/>
      <c r="X216" s="843"/>
      <c r="Y216" s="628"/>
      <c r="Z216" s="606"/>
      <c r="AA216" s="606"/>
      <c r="AB216" s="606"/>
      <c r="AC216" s="606"/>
      <c r="AD216" s="606"/>
      <c r="AE216" s="606"/>
      <c r="AF216" s="606"/>
      <c r="AG216" s="606"/>
      <c r="AH216" s="125"/>
      <c r="AI216" s="125"/>
      <c r="AJ216" s="125"/>
      <c r="AK216" s="125"/>
      <c r="AL216" s="125"/>
      <c r="AM216" s="125"/>
      <c r="AN216" s="125"/>
      <c r="AO216" s="125"/>
      <c r="AP216" s="125"/>
      <c r="AQ216" s="125"/>
      <c r="AR216" s="125"/>
      <c r="AS216" s="125"/>
      <c r="AT216" s="125"/>
      <c r="AU216" s="125"/>
      <c r="AV216" s="125"/>
      <c r="AW216" s="125"/>
      <c r="AX216" s="125"/>
      <c r="AY216" s="125"/>
      <c r="AZ216" s="125"/>
      <c r="BA216" s="828"/>
    </row>
    <row r="217" spans="1:53">
      <c r="A217" s="868"/>
      <c r="B217" s="843"/>
      <c r="C217" s="843"/>
      <c r="D217" s="843"/>
      <c r="E217" s="843"/>
      <c r="F217" s="843"/>
      <c r="G217" s="843"/>
      <c r="H217" s="843"/>
      <c r="I217" s="843"/>
      <c r="J217" s="843"/>
      <c r="K217" s="843"/>
      <c r="L217" s="843"/>
      <c r="M217" s="843"/>
      <c r="N217" s="843"/>
      <c r="O217" s="843"/>
      <c r="P217" s="926"/>
      <c r="Q217" s="926"/>
      <c r="R217" s="843"/>
      <c r="S217" s="843"/>
      <c r="T217" s="1453"/>
      <c r="U217" s="1453"/>
      <c r="V217" s="1453"/>
      <c r="W217" s="1453"/>
      <c r="X217" s="843"/>
      <c r="Y217" s="628"/>
      <c r="Z217" s="606"/>
      <c r="AA217" s="606"/>
      <c r="AB217" s="606"/>
      <c r="AC217" s="606"/>
      <c r="AD217" s="606"/>
      <c r="AE217" s="606"/>
      <c r="AF217" s="606"/>
      <c r="AG217" s="606"/>
      <c r="AH217" s="125"/>
      <c r="AI217" s="125"/>
      <c r="AJ217" s="125"/>
      <c r="AK217" s="125"/>
      <c r="AL217" s="125"/>
      <c r="AM217" s="125"/>
      <c r="AN217" s="125"/>
      <c r="AO217" s="125"/>
      <c r="AP217" s="125"/>
      <c r="AQ217" s="125"/>
      <c r="AR217" s="125"/>
      <c r="AS217" s="125"/>
      <c r="AT217" s="125"/>
      <c r="AU217" s="125"/>
      <c r="AV217" s="125"/>
      <c r="AW217" s="125"/>
      <c r="AX217" s="125"/>
      <c r="AY217" s="125"/>
      <c r="AZ217" s="125"/>
      <c r="BA217" s="828"/>
    </row>
    <row r="218" spans="1:53">
      <c r="A218" s="868"/>
      <c r="B218" s="843"/>
      <c r="C218" s="843"/>
      <c r="D218" s="843"/>
      <c r="E218" s="843"/>
      <c r="F218" s="843"/>
      <c r="G218" s="843"/>
      <c r="H218" s="843"/>
      <c r="I218" s="843"/>
      <c r="J218" s="843"/>
      <c r="K218" s="843"/>
      <c r="L218" s="843"/>
      <c r="M218" s="843"/>
      <c r="N218" s="843"/>
      <c r="O218" s="843"/>
      <c r="P218" s="926"/>
      <c r="Q218" s="926"/>
      <c r="R218" s="843"/>
      <c r="S218" s="843"/>
      <c r="T218" s="1453"/>
      <c r="U218" s="1453"/>
      <c r="V218" s="1453"/>
      <c r="W218" s="1453"/>
      <c r="X218" s="843"/>
      <c r="Y218" s="628"/>
      <c r="Z218" s="606"/>
      <c r="AA218" s="606"/>
      <c r="AB218" s="606"/>
      <c r="AC218" s="606"/>
      <c r="AD218" s="606"/>
      <c r="AE218" s="606"/>
      <c r="AF218" s="606"/>
      <c r="AG218" s="606"/>
      <c r="AH218" s="125"/>
      <c r="AI218" s="125"/>
      <c r="AJ218" s="125"/>
      <c r="AK218" s="125"/>
      <c r="AL218" s="125"/>
      <c r="AM218" s="125"/>
      <c r="AN218" s="125"/>
      <c r="AO218" s="125"/>
      <c r="AP218" s="125"/>
      <c r="AQ218" s="125"/>
      <c r="AR218" s="125"/>
      <c r="AS218" s="125"/>
      <c r="AT218" s="125"/>
      <c r="AU218" s="125"/>
      <c r="AV218" s="125"/>
      <c r="AW218" s="125"/>
      <c r="AX218" s="125"/>
      <c r="AY218" s="125"/>
      <c r="AZ218" s="125"/>
      <c r="BA218" s="828"/>
    </row>
    <row r="219" spans="1:53">
      <c r="A219" s="868"/>
      <c r="B219" s="843"/>
      <c r="C219" s="843"/>
      <c r="D219" s="843"/>
      <c r="E219" s="843"/>
      <c r="F219" s="843"/>
      <c r="G219" s="843"/>
      <c r="H219" s="843"/>
      <c r="I219" s="843"/>
      <c r="J219" s="843"/>
      <c r="K219" s="843"/>
      <c r="L219" s="843"/>
      <c r="M219" s="843"/>
      <c r="N219" s="843"/>
      <c r="O219" s="843"/>
      <c r="P219" s="926"/>
      <c r="Q219" s="926"/>
      <c r="R219" s="843"/>
      <c r="S219" s="843"/>
      <c r="T219" s="1453"/>
      <c r="U219" s="1453"/>
      <c r="V219" s="1453"/>
      <c r="W219" s="1453"/>
      <c r="X219" s="843"/>
      <c r="Y219" s="628"/>
      <c r="Z219" s="606"/>
      <c r="AA219" s="606"/>
      <c r="AB219" s="606"/>
      <c r="AC219" s="606"/>
      <c r="AD219" s="606"/>
      <c r="AE219" s="606"/>
      <c r="AF219" s="606"/>
      <c r="AG219" s="606"/>
      <c r="AH219" s="125"/>
      <c r="AI219" s="125"/>
      <c r="AJ219" s="125"/>
      <c r="AK219" s="125"/>
      <c r="AL219" s="125"/>
      <c r="AM219" s="125"/>
      <c r="AN219" s="125"/>
      <c r="AO219" s="125"/>
      <c r="AP219" s="125"/>
      <c r="AQ219" s="125"/>
      <c r="AR219" s="125"/>
      <c r="AS219" s="125"/>
      <c r="AT219" s="125"/>
      <c r="AU219" s="125"/>
      <c r="AV219" s="125"/>
      <c r="AW219" s="125"/>
      <c r="AX219" s="125"/>
      <c r="AY219" s="125"/>
      <c r="AZ219" s="125"/>
      <c r="BA219" s="828"/>
    </row>
    <row r="220" spans="1:53">
      <c r="A220" s="868"/>
      <c r="B220" s="843"/>
      <c r="C220" s="843"/>
      <c r="D220" s="843"/>
      <c r="E220" s="843"/>
      <c r="F220" s="843"/>
      <c r="G220" s="843"/>
      <c r="H220" s="843"/>
      <c r="I220" s="843"/>
      <c r="J220" s="843"/>
      <c r="K220" s="843"/>
      <c r="L220" s="843"/>
      <c r="M220" s="843"/>
      <c r="N220" s="843"/>
      <c r="O220" s="843"/>
      <c r="P220" s="926"/>
      <c r="Q220" s="926"/>
      <c r="R220" s="843"/>
      <c r="S220" s="843"/>
      <c r="T220" s="1453"/>
      <c r="U220" s="1453"/>
      <c r="V220" s="1453"/>
      <c r="W220" s="1453"/>
      <c r="X220" s="843"/>
      <c r="Y220" s="628"/>
      <c r="Z220" s="606"/>
      <c r="AA220" s="606"/>
      <c r="AB220" s="606"/>
      <c r="AC220" s="606"/>
      <c r="AD220" s="606"/>
      <c r="AE220" s="606"/>
      <c r="AF220" s="606"/>
      <c r="AG220" s="606"/>
      <c r="AH220" s="125"/>
      <c r="AI220" s="125"/>
      <c r="AJ220" s="125"/>
      <c r="AK220" s="125"/>
      <c r="AL220" s="125"/>
      <c r="AM220" s="125"/>
      <c r="AN220" s="125"/>
      <c r="AO220" s="125"/>
      <c r="AP220" s="125"/>
      <c r="AQ220" s="125"/>
      <c r="AR220" s="125"/>
      <c r="AS220" s="125"/>
      <c r="AT220" s="125"/>
      <c r="AU220" s="125"/>
      <c r="AV220" s="125"/>
      <c r="AW220" s="125"/>
      <c r="AX220" s="125"/>
      <c r="AY220" s="125"/>
      <c r="AZ220" s="125"/>
      <c r="BA220" s="828"/>
    </row>
    <row r="221" spans="1:53">
      <c r="A221" s="868"/>
      <c r="B221" s="843"/>
      <c r="C221" s="843"/>
      <c r="D221" s="843"/>
      <c r="E221" s="843"/>
      <c r="F221" s="843"/>
      <c r="G221" s="843"/>
      <c r="H221" s="843"/>
      <c r="I221" s="843"/>
      <c r="J221" s="843"/>
      <c r="K221" s="843"/>
      <c r="L221" s="843"/>
      <c r="M221" s="843"/>
      <c r="N221" s="843"/>
      <c r="O221" s="843"/>
      <c r="P221" s="926"/>
      <c r="Q221" s="926"/>
      <c r="R221" s="843"/>
      <c r="S221" s="843"/>
      <c r="T221" s="936"/>
      <c r="U221" s="936"/>
      <c r="V221" s="936"/>
      <c r="W221" s="936"/>
      <c r="X221" s="843"/>
      <c r="Y221" s="628"/>
      <c r="Z221" s="606"/>
      <c r="AA221" s="606"/>
      <c r="AB221" s="606"/>
      <c r="AC221" s="606"/>
      <c r="AD221" s="606"/>
      <c r="AE221" s="606"/>
      <c r="AF221" s="606"/>
      <c r="AG221" s="606"/>
      <c r="AH221" s="125"/>
      <c r="AI221" s="125"/>
      <c r="AJ221" s="125"/>
      <c r="AK221" s="125"/>
      <c r="AL221" s="125"/>
      <c r="AM221" s="125"/>
      <c r="AN221" s="125"/>
      <c r="AO221" s="125"/>
      <c r="AP221" s="125"/>
      <c r="AQ221" s="125"/>
      <c r="AR221" s="125"/>
      <c r="AS221" s="125"/>
      <c r="AT221" s="125"/>
      <c r="AU221" s="125"/>
      <c r="AV221" s="125"/>
      <c r="AW221" s="125"/>
      <c r="AX221" s="125"/>
      <c r="AY221" s="125"/>
      <c r="AZ221" s="125"/>
      <c r="BA221" s="828"/>
    </row>
    <row r="222" spans="1:53">
      <c r="A222" s="868"/>
      <c r="B222" s="843"/>
      <c r="C222" s="843"/>
      <c r="D222" s="843"/>
      <c r="E222" s="843"/>
      <c r="F222" s="843"/>
      <c r="G222" s="843"/>
      <c r="H222" s="843"/>
      <c r="I222" s="843"/>
      <c r="J222" s="843"/>
      <c r="K222" s="843"/>
      <c r="L222" s="843"/>
      <c r="M222" s="843"/>
      <c r="N222" s="843"/>
      <c r="O222" s="843"/>
      <c r="P222" s="926"/>
      <c r="Q222" s="926"/>
      <c r="R222" s="843"/>
      <c r="S222" s="843"/>
      <c r="T222" s="936"/>
      <c r="U222" s="936"/>
      <c r="V222" s="936"/>
      <c r="W222" s="936"/>
      <c r="X222" s="843"/>
      <c r="Y222" s="628"/>
      <c r="Z222" s="606"/>
      <c r="AA222" s="606"/>
      <c r="AB222" s="606"/>
      <c r="AC222" s="606"/>
      <c r="AD222" s="606"/>
      <c r="AE222" s="606"/>
      <c r="AF222" s="606"/>
      <c r="AG222" s="606"/>
      <c r="AH222" s="125"/>
      <c r="AI222" s="125"/>
      <c r="AJ222" s="125"/>
      <c r="AK222" s="125"/>
      <c r="AL222" s="125"/>
      <c r="AM222" s="125"/>
      <c r="AN222" s="125"/>
      <c r="AO222" s="125"/>
      <c r="AP222" s="125"/>
      <c r="AQ222" s="125"/>
      <c r="AR222" s="125"/>
      <c r="AS222" s="125"/>
      <c r="AT222" s="125"/>
      <c r="AU222" s="125"/>
      <c r="AV222" s="125"/>
      <c r="AW222" s="125"/>
      <c r="AX222" s="125"/>
      <c r="AY222" s="125"/>
      <c r="AZ222" s="125"/>
      <c r="BA222" s="828"/>
    </row>
    <row r="223" spans="1:53">
      <c r="A223" s="868"/>
      <c r="B223" s="843"/>
      <c r="C223" s="843"/>
      <c r="D223" s="843"/>
      <c r="E223" s="843"/>
      <c r="F223" s="843"/>
      <c r="G223" s="843"/>
      <c r="H223" s="843"/>
      <c r="I223" s="843"/>
      <c r="J223" s="843"/>
      <c r="K223" s="843"/>
      <c r="L223" s="843"/>
      <c r="M223" s="843"/>
      <c r="N223" s="843"/>
      <c r="O223" s="843"/>
      <c r="P223" s="926"/>
      <c r="Q223" s="926"/>
      <c r="R223" s="843"/>
      <c r="S223" s="843"/>
      <c r="T223" s="936"/>
      <c r="U223" s="936"/>
      <c r="V223" s="936"/>
      <c r="W223" s="936"/>
      <c r="X223" s="843"/>
      <c r="Y223" s="628"/>
      <c r="Z223" s="606"/>
      <c r="AA223" s="606"/>
      <c r="AB223" s="606"/>
      <c r="AC223" s="606"/>
      <c r="AD223" s="606"/>
      <c r="AE223" s="606"/>
      <c r="AF223" s="606"/>
      <c r="AG223" s="606"/>
      <c r="AH223" s="125"/>
      <c r="AI223" s="125"/>
      <c r="AJ223" s="125"/>
      <c r="AK223" s="125"/>
      <c r="AL223" s="125"/>
      <c r="AM223" s="125"/>
      <c r="AN223" s="125"/>
      <c r="AO223" s="125"/>
      <c r="AP223" s="125"/>
      <c r="AQ223" s="125"/>
      <c r="AR223" s="125"/>
      <c r="AS223" s="125"/>
      <c r="AT223" s="125"/>
      <c r="AU223" s="125"/>
      <c r="AV223" s="125"/>
      <c r="AW223" s="125"/>
      <c r="AX223" s="125"/>
      <c r="AY223" s="125"/>
      <c r="AZ223" s="125"/>
      <c r="BA223" s="828"/>
    </row>
    <row r="224" spans="1:53">
      <c r="A224" s="868"/>
      <c r="B224" s="843"/>
      <c r="C224" s="843"/>
      <c r="D224" s="843"/>
      <c r="E224" s="843"/>
      <c r="F224" s="843"/>
      <c r="G224" s="843"/>
      <c r="H224" s="843"/>
      <c r="I224" s="843"/>
      <c r="J224" s="843"/>
      <c r="K224" s="843"/>
      <c r="L224" s="843"/>
      <c r="M224" s="843"/>
      <c r="N224" s="843"/>
      <c r="O224" s="843"/>
      <c r="P224" s="926"/>
      <c r="Q224" s="926"/>
      <c r="R224" s="843"/>
      <c r="S224" s="843"/>
      <c r="T224" s="843"/>
      <c r="U224" s="843"/>
      <c r="V224" s="843"/>
      <c r="W224" s="843"/>
      <c r="X224" s="843"/>
      <c r="Y224" s="628"/>
      <c r="Z224" s="606"/>
      <c r="AA224" s="606"/>
      <c r="AB224" s="606"/>
      <c r="AC224" s="606"/>
      <c r="AD224" s="606"/>
      <c r="AE224" s="606"/>
      <c r="AF224" s="606"/>
      <c r="AG224" s="606"/>
      <c r="AH224" s="125"/>
      <c r="AI224" s="125"/>
      <c r="AJ224" s="125"/>
      <c r="AK224" s="125"/>
      <c r="AL224" s="125"/>
      <c r="AM224" s="125"/>
      <c r="AN224" s="125"/>
      <c r="AO224" s="125"/>
      <c r="AP224" s="125"/>
      <c r="AQ224" s="125"/>
      <c r="AR224" s="125"/>
      <c r="AS224" s="125"/>
      <c r="AT224" s="125"/>
      <c r="AU224" s="125"/>
      <c r="AV224" s="125"/>
      <c r="AW224" s="125"/>
      <c r="AX224" s="125"/>
      <c r="AY224" s="125"/>
      <c r="AZ224" s="125"/>
      <c r="BA224" s="828"/>
    </row>
    <row r="225" spans="1:53">
      <c r="A225" s="868"/>
      <c r="B225" s="843"/>
      <c r="C225" s="843"/>
      <c r="D225" s="843"/>
      <c r="E225" s="843"/>
      <c r="F225" s="843"/>
      <c r="G225" s="843"/>
      <c r="H225" s="843"/>
      <c r="I225" s="843"/>
      <c r="J225" s="843"/>
      <c r="K225" s="843"/>
      <c r="L225" s="843"/>
      <c r="M225" s="843"/>
      <c r="N225" s="843"/>
      <c r="O225" s="843"/>
      <c r="P225" s="926"/>
      <c r="Q225" s="926"/>
      <c r="R225" s="843"/>
      <c r="S225" s="843"/>
      <c r="T225" s="843"/>
      <c r="U225" s="843"/>
      <c r="V225" s="843"/>
      <c r="W225" s="843"/>
      <c r="X225" s="843"/>
      <c r="Y225" s="628"/>
      <c r="Z225" s="606"/>
      <c r="AA225" s="606"/>
      <c r="AB225" s="606"/>
      <c r="AC225" s="606"/>
      <c r="AD225" s="606"/>
      <c r="AE225" s="606"/>
      <c r="AF225" s="606"/>
      <c r="AG225" s="606"/>
      <c r="AH225" s="125"/>
      <c r="AI225" s="125"/>
      <c r="AJ225" s="125"/>
      <c r="AK225" s="125"/>
      <c r="AL225" s="125"/>
      <c r="AM225" s="125"/>
      <c r="AN225" s="125"/>
      <c r="AO225" s="125"/>
      <c r="AP225" s="125"/>
      <c r="AQ225" s="125"/>
      <c r="AR225" s="125"/>
      <c r="AS225" s="125"/>
      <c r="AT225" s="125"/>
      <c r="AU225" s="125"/>
      <c r="AV225" s="125"/>
      <c r="AW225" s="125"/>
      <c r="AX225" s="125"/>
      <c r="AY225" s="125"/>
      <c r="AZ225" s="125"/>
      <c r="BA225" s="828"/>
    </row>
    <row r="226" spans="1:53">
      <c r="A226" s="868"/>
      <c r="B226" s="843"/>
      <c r="C226" s="843"/>
      <c r="D226" s="843"/>
      <c r="E226" s="843"/>
      <c r="F226" s="843"/>
      <c r="G226" s="843"/>
      <c r="H226" s="843"/>
      <c r="I226" s="843"/>
      <c r="J226" s="843"/>
      <c r="K226" s="843"/>
      <c r="L226" s="843"/>
      <c r="M226" s="843"/>
      <c r="N226" s="843"/>
      <c r="O226" s="843"/>
      <c r="P226" s="926"/>
      <c r="Q226" s="926"/>
      <c r="R226" s="843"/>
      <c r="S226" s="843"/>
      <c r="T226" s="843"/>
      <c r="U226" s="843"/>
      <c r="V226" s="843"/>
      <c r="W226" s="843"/>
      <c r="X226" s="843"/>
      <c r="Y226" s="628"/>
      <c r="Z226" s="606"/>
      <c r="AA226" s="606"/>
      <c r="AB226" s="606"/>
      <c r="AC226" s="606"/>
      <c r="AD226" s="606"/>
      <c r="AE226" s="606"/>
      <c r="AF226" s="606"/>
      <c r="AG226" s="606"/>
      <c r="AH226" s="125"/>
      <c r="AI226" s="125"/>
      <c r="AJ226" s="125"/>
      <c r="AK226" s="125"/>
      <c r="AL226" s="125"/>
      <c r="AM226" s="125"/>
      <c r="AN226" s="125"/>
      <c r="AO226" s="125"/>
      <c r="AP226" s="125"/>
      <c r="AQ226" s="125"/>
      <c r="AR226" s="125"/>
      <c r="AS226" s="125"/>
      <c r="AT226" s="125"/>
      <c r="AU226" s="125"/>
      <c r="AV226" s="125"/>
      <c r="AW226" s="125"/>
      <c r="AX226" s="125"/>
      <c r="AY226" s="125"/>
      <c r="AZ226" s="125"/>
      <c r="BA226" s="828"/>
    </row>
    <row r="227" spans="1:53">
      <c r="A227" s="868"/>
      <c r="B227" s="843"/>
      <c r="C227" s="843"/>
      <c r="D227" s="843"/>
      <c r="E227" s="843"/>
      <c r="F227" s="843"/>
      <c r="G227" s="843"/>
      <c r="H227" s="843"/>
      <c r="I227" s="843"/>
      <c r="J227" s="843"/>
      <c r="K227" s="843"/>
      <c r="L227" s="843"/>
      <c r="M227" s="843"/>
      <c r="N227" s="843"/>
      <c r="O227" s="843"/>
      <c r="P227" s="926"/>
      <c r="Q227" s="926"/>
      <c r="R227" s="843"/>
      <c r="S227" s="843"/>
      <c r="T227" s="843"/>
      <c r="U227" s="843"/>
      <c r="V227" s="843"/>
      <c r="W227" s="843"/>
      <c r="X227" s="843"/>
      <c r="Y227" s="628"/>
      <c r="Z227" s="606"/>
      <c r="AA227" s="606"/>
      <c r="AB227" s="606"/>
      <c r="AC227" s="606"/>
      <c r="AD227" s="606"/>
      <c r="AE227" s="606"/>
      <c r="AF227" s="606"/>
      <c r="AG227" s="606"/>
      <c r="AH227" s="125"/>
      <c r="AI227" s="125"/>
      <c r="AJ227" s="125"/>
      <c r="AK227" s="125"/>
      <c r="AL227" s="125"/>
      <c r="AM227" s="125"/>
      <c r="AN227" s="125"/>
      <c r="AO227" s="125"/>
      <c r="AP227" s="125"/>
      <c r="AQ227" s="125"/>
      <c r="AR227" s="125"/>
      <c r="AS227" s="125"/>
      <c r="AT227" s="125"/>
      <c r="AU227" s="125"/>
      <c r="AV227" s="125"/>
      <c r="AW227" s="125"/>
      <c r="AX227" s="125"/>
      <c r="AY227" s="125"/>
      <c r="AZ227" s="125"/>
      <c r="BA227" s="828"/>
    </row>
    <row r="228" spans="1:53">
      <c r="A228" s="868"/>
      <c r="B228" s="843"/>
      <c r="C228" s="843"/>
      <c r="D228" s="843"/>
      <c r="E228" s="843"/>
      <c r="F228" s="843"/>
      <c r="G228" s="843"/>
      <c r="H228" s="843"/>
      <c r="I228" s="843"/>
      <c r="J228" s="843"/>
      <c r="K228" s="843"/>
      <c r="L228" s="843"/>
      <c r="M228" s="843"/>
      <c r="N228" s="843"/>
      <c r="O228" s="843"/>
      <c r="P228" s="926"/>
      <c r="Q228" s="926"/>
      <c r="R228" s="843"/>
      <c r="S228" s="843"/>
      <c r="T228" s="843"/>
      <c r="U228" s="843"/>
      <c r="V228" s="843"/>
      <c r="W228" s="843"/>
      <c r="X228" s="843"/>
      <c r="Y228" s="628"/>
      <c r="Z228" s="606"/>
      <c r="AA228" s="606"/>
      <c r="AB228" s="606"/>
      <c r="AC228" s="606"/>
      <c r="AD228" s="606"/>
      <c r="AE228" s="606"/>
      <c r="AF228" s="606"/>
      <c r="AG228" s="606"/>
      <c r="AH228" s="125"/>
      <c r="AI228" s="125"/>
      <c r="AJ228" s="125"/>
      <c r="AK228" s="125"/>
      <c r="AL228" s="125"/>
      <c r="AM228" s="125"/>
      <c r="AN228" s="125"/>
      <c r="AO228" s="125"/>
      <c r="AP228" s="125"/>
      <c r="AQ228" s="125"/>
      <c r="AR228" s="125"/>
      <c r="AS228" s="125"/>
      <c r="AT228" s="125"/>
      <c r="AU228" s="125"/>
      <c r="AV228" s="125"/>
      <c r="AW228" s="125"/>
      <c r="AX228" s="125"/>
      <c r="AY228" s="125"/>
      <c r="AZ228" s="125"/>
      <c r="BA228" s="828"/>
    </row>
    <row r="229" spans="1:53">
      <c r="A229" s="868"/>
      <c r="B229" s="843"/>
      <c r="C229" s="843"/>
      <c r="D229" s="843"/>
      <c r="E229" s="843"/>
      <c r="F229" s="843"/>
      <c r="G229" s="843"/>
      <c r="H229" s="843"/>
      <c r="I229" s="843"/>
      <c r="J229" s="843"/>
      <c r="K229" s="843"/>
      <c r="L229" s="843"/>
      <c r="M229" s="843"/>
      <c r="N229" s="843"/>
      <c r="O229" s="843"/>
      <c r="P229" s="843"/>
      <c r="Q229" s="843"/>
      <c r="R229" s="843"/>
      <c r="S229" s="843"/>
      <c r="T229" s="843"/>
      <c r="U229" s="843"/>
      <c r="V229" s="843"/>
      <c r="W229" s="843"/>
      <c r="X229" s="843"/>
      <c r="Y229" s="628"/>
      <c r="Z229" s="606"/>
      <c r="AA229" s="606"/>
      <c r="AB229" s="606"/>
      <c r="AC229" s="606"/>
      <c r="AD229" s="606"/>
      <c r="AE229" s="606"/>
      <c r="AF229" s="606"/>
      <c r="AG229" s="606"/>
      <c r="AH229" s="125"/>
      <c r="AI229" s="125"/>
      <c r="AJ229" s="125"/>
      <c r="AK229" s="125"/>
      <c r="AL229" s="125"/>
      <c r="AM229" s="125"/>
      <c r="AN229" s="125"/>
      <c r="AO229" s="125"/>
      <c r="AP229" s="125"/>
      <c r="AQ229" s="125"/>
      <c r="AR229" s="125"/>
      <c r="AS229" s="125"/>
      <c r="AT229" s="125"/>
      <c r="AU229" s="125"/>
      <c r="AV229" s="125"/>
      <c r="AW229" s="125"/>
      <c r="AX229" s="125"/>
      <c r="AY229" s="125"/>
      <c r="AZ229" s="125"/>
      <c r="BA229" s="828"/>
    </row>
    <row r="230" spans="1:53">
      <c r="A230" s="868"/>
      <c r="B230" s="843"/>
      <c r="C230" s="843"/>
      <c r="D230" s="843"/>
      <c r="E230" s="843"/>
      <c r="F230" s="843"/>
      <c r="G230" s="843"/>
      <c r="H230" s="843"/>
      <c r="I230" s="843"/>
      <c r="J230" s="843"/>
      <c r="K230" s="843"/>
      <c r="L230" s="843"/>
      <c r="M230" s="843"/>
      <c r="N230" s="843"/>
      <c r="O230" s="843"/>
      <c r="P230" s="843"/>
      <c r="Q230" s="843"/>
      <c r="R230" s="843"/>
      <c r="S230" s="843"/>
      <c r="T230" s="843"/>
      <c r="U230" s="843"/>
      <c r="V230" s="843"/>
      <c r="W230" s="843"/>
      <c r="X230" s="843"/>
      <c r="Y230" s="628"/>
      <c r="Z230" s="606"/>
      <c r="AA230" s="606"/>
      <c r="AB230" s="606"/>
      <c r="AC230" s="606"/>
      <c r="AD230" s="606"/>
      <c r="AE230" s="606"/>
      <c r="AF230" s="606"/>
      <c r="AG230" s="606"/>
      <c r="AH230" s="125"/>
      <c r="AI230" s="125"/>
      <c r="AJ230" s="125"/>
      <c r="AK230" s="125"/>
      <c r="AL230" s="125"/>
      <c r="AM230" s="125"/>
      <c r="AN230" s="125"/>
      <c r="AO230" s="125"/>
      <c r="AP230" s="125"/>
      <c r="AQ230" s="125"/>
      <c r="AR230" s="125"/>
      <c r="AS230" s="125"/>
      <c r="AT230" s="125"/>
      <c r="AU230" s="125"/>
      <c r="AV230" s="125"/>
      <c r="AW230" s="125"/>
      <c r="AX230" s="125"/>
      <c r="AY230" s="125"/>
      <c r="AZ230" s="125"/>
      <c r="BA230" s="828"/>
    </row>
    <row r="231" spans="1:53">
      <c r="A231" s="868"/>
      <c r="B231" s="843"/>
      <c r="C231" s="843"/>
      <c r="D231" s="843"/>
      <c r="E231" s="843"/>
      <c r="F231" s="843"/>
      <c r="G231" s="843"/>
      <c r="H231" s="843"/>
      <c r="I231" s="843"/>
      <c r="J231" s="843"/>
      <c r="K231" s="843"/>
      <c r="L231" s="843"/>
      <c r="M231" s="843"/>
      <c r="N231" s="843"/>
      <c r="O231" s="843"/>
      <c r="P231" s="843"/>
      <c r="Q231" s="843"/>
      <c r="R231" s="843"/>
      <c r="S231" s="843"/>
      <c r="T231" s="843"/>
      <c r="U231" s="843"/>
      <c r="V231" s="843"/>
      <c r="W231" s="843"/>
      <c r="X231" s="843"/>
      <c r="Y231" s="628"/>
      <c r="Z231" s="606"/>
      <c r="AA231" s="606"/>
      <c r="AB231" s="606"/>
      <c r="AC231" s="606"/>
      <c r="AD231" s="606"/>
      <c r="AE231" s="606"/>
      <c r="AF231" s="606"/>
      <c r="AG231" s="606"/>
      <c r="AH231" s="125"/>
      <c r="AI231" s="125"/>
      <c r="AJ231" s="125"/>
      <c r="AK231" s="125"/>
      <c r="AL231" s="125"/>
      <c r="AM231" s="125"/>
      <c r="AN231" s="125"/>
      <c r="AO231" s="125"/>
      <c r="AP231" s="125"/>
      <c r="AQ231" s="125"/>
      <c r="AR231" s="125"/>
      <c r="AS231" s="125"/>
      <c r="AT231" s="125"/>
      <c r="AU231" s="125"/>
      <c r="AV231" s="125"/>
      <c r="AW231" s="125"/>
      <c r="AX231" s="125"/>
      <c r="AY231" s="125"/>
      <c r="AZ231" s="125"/>
      <c r="BA231" s="828"/>
    </row>
    <row r="232" spans="1:53">
      <c r="A232" s="868"/>
      <c r="B232" s="843"/>
      <c r="C232" s="843"/>
      <c r="D232" s="843"/>
      <c r="E232" s="843"/>
      <c r="F232" s="843"/>
      <c r="G232" s="843"/>
      <c r="H232" s="843"/>
      <c r="I232" s="843"/>
      <c r="J232" s="843"/>
      <c r="K232" s="843"/>
      <c r="L232" s="843"/>
      <c r="M232" s="843"/>
      <c r="N232" s="843"/>
      <c r="O232" s="843"/>
      <c r="P232" s="843"/>
      <c r="Q232" s="843"/>
      <c r="R232" s="843"/>
      <c r="S232" s="843"/>
      <c r="T232" s="843"/>
      <c r="U232" s="843"/>
      <c r="V232" s="843"/>
      <c r="W232" s="843"/>
      <c r="X232" s="843"/>
      <c r="Y232" s="628"/>
      <c r="Z232" s="606"/>
      <c r="AA232" s="606"/>
      <c r="AB232" s="606"/>
      <c r="AC232" s="606"/>
      <c r="AD232" s="606"/>
      <c r="AE232" s="606"/>
      <c r="AF232" s="606"/>
      <c r="AG232" s="606"/>
      <c r="AH232" s="125"/>
      <c r="AI232" s="125"/>
      <c r="AJ232" s="125"/>
      <c r="AK232" s="125"/>
      <c r="AL232" s="125"/>
      <c r="AM232" s="125"/>
      <c r="AN232" s="125"/>
      <c r="AO232" s="125"/>
      <c r="AP232" s="125"/>
      <c r="AQ232" s="125"/>
      <c r="AR232" s="125"/>
      <c r="AS232" s="125"/>
      <c r="AT232" s="125"/>
      <c r="AU232" s="125"/>
      <c r="AV232" s="125"/>
      <c r="AW232" s="125"/>
      <c r="AX232" s="125"/>
      <c r="AY232" s="125"/>
      <c r="AZ232" s="125"/>
      <c r="BA232" s="828"/>
    </row>
    <row r="233" spans="1:53">
      <c r="A233" s="868"/>
      <c r="B233" s="843"/>
      <c r="C233" s="843"/>
      <c r="D233" s="843"/>
      <c r="E233" s="843"/>
      <c r="F233" s="843"/>
      <c r="G233" s="843"/>
      <c r="H233" s="843"/>
      <c r="I233" s="843"/>
      <c r="J233" s="843"/>
      <c r="K233" s="843"/>
      <c r="L233" s="843"/>
      <c r="M233" s="843"/>
      <c r="N233" s="843"/>
      <c r="O233" s="843"/>
      <c r="P233" s="843"/>
      <c r="Q233" s="843"/>
      <c r="R233" s="843"/>
      <c r="S233" s="843"/>
      <c r="T233" s="843"/>
      <c r="U233" s="843"/>
      <c r="V233" s="843"/>
      <c r="W233" s="843"/>
      <c r="X233" s="843"/>
      <c r="Y233" s="628"/>
      <c r="Z233" s="606"/>
      <c r="AA233" s="606"/>
      <c r="AB233" s="606"/>
      <c r="AC233" s="606"/>
      <c r="AD233" s="606"/>
      <c r="AE233" s="606"/>
      <c r="AF233" s="606"/>
      <c r="AG233" s="606"/>
      <c r="AH233" s="125"/>
      <c r="AI233" s="125"/>
      <c r="AJ233" s="125"/>
      <c r="AK233" s="125"/>
      <c r="AL233" s="125"/>
      <c r="AM233" s="125"/>
      <c r="AN233" s="125"/>
      <c r="AO233" s="125"/>
      <c r="AP233" s="125"/>
      <c r="AQ233" s="125"/>
      <c r="AR233" s="125"/>
      <c r="AS233" s="125"/>
      <c r="AT233" s="125"/>
      <c r="AU233" s="125"/>
      <c r="AV233" s="125"/>
      <c r="AW233" s="125"/>
      <c r="AX233" s="125"/>
      <c r="AY233" s="125"/>
      <c r="AZ233" s="125"/>
      <c r="BA233" s="828"/>
    </row>
    <row r="234" spans="1:53">
      <c r="A234" s="868"/>
      <c r="B234" s="843"/>
      <c r="C234" s="843"/>
      <c r="D234" s="843"/>
      <c r="E234" s="843"/>
      <c r="F234" s="843"/>
      <c r="G234" s="843"/>
      <c r="H234" s="843"/>
      <c r="I234" s="843"/>
      <c r="J234" s="843"/>
      <c r="K234" s="843"/>
      <c r="L234" s="843"/>
      <c r="M234" s="843"/>
      <c r="N234" s="843"/>
      <c r="O234" s="843"/>
      <c r="P234" s="843"/>
      <c r="Q234" s="843"/>
      <c r="R234" s="843"/>
      <c r="S234" s="843"/>
      <c r="T234" s="843"/>
      <c r="U234" s="843"/>
      <c r="V234" s="843"/>
      <c r="W234" s="843"/>
      <c r="X234" s="843"/>
      <c r="Y234" s="628"/>
      <c r="Z234" s="606"/>
      <c r="AA234" s="606"/>
      <c r="AB234" s="606"/>
      <c r="AC234" s="606"/>
      <c r="AD234" s="606"/>
      <c r="AE234" s="606"/>
      <c r="AF234" s="606"/>
      <c r="AG234" s="606"/>
      <c r="AH234" s="125"/>
      <c r="AI234" s="125"/>
      <c r="AJ234" s="125"/>
      <c r="AK234" s="125"/>
      <c r="AL234" s="125"/>
      <c r="AM234" s="125"/>
      <c r="AN234" s="125"/>
      <c r="AO234" s="125"/>
      <c r="AP234" s="125"/>
      <c r="AQ234" s="125"/>
      <c r="AR234" s="125"/>
      <c r="AS234" s="125"/>
      <c r="AT234" s="125"/>
      <c r="AU234" s="125"/>
      <c r="AV234" s="125"/>
      <c r="AW234" s="125"/>
      <c r="AX234" s="125"/>
      <c r="AY234" s="125"/>
      <c r="AZ234" s="125"/>
      <c r="BA234" s="828"/>
    </row>
    <row r="235" spans="1:53">
      <c r="A235" s="868"/>
      <c r="B235" s="843"/>
      <c r="C235" s="843"/>
      <c r="D235" s="843"/>
      <c r="E235" s="843"/>
      <c r="F235" s="843"/>
      <c r="G235" s="843"/>
      <c r="H235" s="843"/>
      <c r="I235" s="843"/>
      <c r="J235" s="843"/>
      <c r="K235" s="843"/>
      <c r="L235" s="843"/>
      <c r="M235" s="843"/>
      <c r="N235" s="843"/>
      <c r="O235" s="843"/>
      <c r="P235" s="843"/>
      <c r="Q235" s="843"/>
      <c r="R235" s="843"/>
      <c r="S235" s="843"/>
      <c r="T235" s="843"/>
      <c r="U235" s="843"/>
      <c r="V235" s="843"/>
      <c r="W235" s="843"/>
      <c r="X235" s="843"/>
      <c r="Y235" s="628"/>
      <c r="Z235" s="606"/>
      <c r="AA235" s="606"/>
      <c r="AB235" s="606"/>
      <c r="AC235" s="606"/>
      <c r="AD235" s="606"/>
      <c r="AE235" s="606"/>
      <c r="AF235" s="606"/>
      <c r="AG235" s="606"/>
      <c r="AH235" s="125"/>
      <c r="AI235" s="125"/>
      <c r="AJ235" s="125"/>
      <c r="AK235" s="125"/>
      <c r="AL235" s="125"/>
      <c r="AM235" s="125"/>
      <c r="AN235" s="125"/>
      <c r="AO235" s="125"/>
      <c r="AP235" s="125"/>
      <c r="AQ235" s="125"/>
      <c r="AR235" s="125"/>
      <c r="AS235" s="125"/>
      <c r="AT235" s="125"/>
      <c r="AU235" s="125"/>
      <c r="AV235" s="125"/>
      <c r="AW235" s="125"/>
      <c r="AX235" s="125"/>
      <c r="AY235" s="125"/>
      <c r="AZ235" s="125"/>
      <c r="BA235" s="828"/>
    </row>
    <row r="236" spans="1:53">
      <c r="A236" s="868"/>
      <c r="B236" s="843"/>
      <c r="C236" s="843"/>
      <c r="D236" s="843"/>
      <c r="E236" s="843"/>
      <c r="F236" s="843"/>
      <c r="G236" s="843"/>
      <c r="H236" s="843"/>
      <c r="I236" s="843"/>
      <c r="J236" s="843"/>
      <c r="K236" s="843"/>
      <c r="L236" s="843"/>
      <c r="M236" s="843"/>
      <c r="N236" s="843"/>
      <c r="O236" s="843"/>
      <c r="P236" s="843"/>
      <c r="Q236" s="843"/>
      <c r="R236" s="843"/>
      <c r="S236" s="843"/>
      <c r="T236" s="843"/>
      <c r="U236" s="843"/>
      <c r="V236" s="843"/>
      <c r="W236" s="843"/>
      <c r="X236" s="843"/>
      <c r="Y236" s="628"/>
      <c r="Z236" s="606"/>
      <c r="AA236" s="606"/>
      <c r="AB236" s="606"/>
      <c r="AC236" s="606"/>
      <c r="AD236" s="606"/>
      <c r="AE236" s="606"/>
      <c r="AF236" s="606"/>
      <c r="AG236" s="606"/>
      <c r="AH236" s="125"/>
      <c r="AI236" s="125"/>
      <c r="AJ236" s="125"/>
      <c r="AK236" s="125"/>
      <c r="AL236" s="125"/>
      <c r="AM236" s="125"/>
      <c r="AN236" s="125"/>
      <c r="AO236" s="125"/>
      <c r="AP236" s="125"/>
      <c r="AQ236" s="125"/>
      <c r="AR236" s="125"/>
      <c r="AS236" s="125"/>
      <c r="AT236" s="125"/>
      <c r="AU236" s="125"/>
      <c r="AV236" s="125"/>
      <c r="AW236" s="125"/>
      <c r="AX236" s="125"/>
      <c r="AY236" s="125"/>
      <c r="AZ236" s="125"/>
      <c r="BA236" s="828"/>
    </row>
    <row r="237" spans="1:53">
      <c r="A237" s="868"/>
      <c r="B237" s="843"/>
      <c r="C237" s="843"/>
      <c r="D237" s="843"/>
      <c r="E237" s="843"/>
      <c r="F237" s="843"/>
      <c r="G237" s="843"/>
      <c r="H237" s="843"/>
      <c r="I237" s="843"/>
      <c r="J237" s="843"/>
      <c r="K237" s="843"/>
      <c r="L237" s="843"/>
      <c r="M237" s="843"/>
      <c r="N237" s="843"/>
      <c r="O237" s="843"/>
      <c r="P237" s="843"/>
      <c r="Q237" s="843"/>
      <c r="R237" s="843"/>
      <c r="S237" s="843"/>
      <c r="T237" s="843"/>
      <c r="U237" s="843"/>
      <c r="V237" s="843"/>
      <c r="W237" s="843"/>
      <c r="X237" s="843"/>
      <c r="Y237" s="628"/>
      <c r="Z237" s="606"/>
      <c r="AA237" s="606"/>
      <c r="AB237" s="606"/>
      <c r="AC237" s="606"/>
      <c r="AD237" s="606"/>
      <c r="AE237" s="606"/>
      <c r="AF237" s="606"/>
      <c r="AG237" s="606"/>
      <c r="AH237" s="125"/>
      <c r="AI237" s="125"/>
      <c r="AJ237" s="125"/>
      <c r="AK237" s="125"/>
      <c r="AL237" s="125"/>
      <c r="AM237" s="125"/>
      <c r="AN237" s="125"/>
      <c r="AO237" s="125"/>
      <c r="AP237" s="125"/>
      <c r="AQ237" s="125"/>
      <c r="AR237" s="125"/>
      <c r="AS237" s="125"/>
      <c r="AT237" s="125"/>
      <c r="AU237" s="125"/>
      <c r="AV237" s="125"/>
      <c r="AW237" s="125"/>
      <c r="AX237" s="125"/>
      <c r="AY237" s="125"/>
      <c r="AZ237" s="125"/>
      <c r="BA237" s="828"/>
    </row>
    <row r="238" spans="1:53">
      <c r="A238" s="868"/>
      <c r="B238" s="843"/>
      <c r="C238" s="843"/>
      <c r="D238" s="843"/>
      <c r="E238" s="843"/>
      <c r="F238" s="843"/>
      <c r="G238" s="843"/>
      <c r="H238" s="843"/>
      <c r="I238" s="843"/>
      <c r="J238" s="843"/>
      <c r="K238" s="843"/>
      <c r="L238" s="843"/>
      <c r="M238" s="843"/>
      <c r="N238" s="843"/>
      <c r="O238" s="843"/>
      <c r="P238" s="843"/>
      <c r="Q238" s="843"/>
      <c r="R238" s="843"/>
      <c r="S238" s="843"/>
      <c r="T238" s="843"/>
      <c r="U238" s="843"/>
      <c r="V238" s="843"/>
      <c r="W238" s="843"/>
      <c r="X238" s="843"/>
      <c r="Y238" s="628"/>
      <c r="Z238" s="606"/>
      <c r="AA238" s="606"/>
      <c r="AB238" s="606"/>
      <c r="AC238" s="606"/>
      <c r="AD238" s="606"/>
      <c r="AE238" s="606"/>
      <c r="AF238" s="606"/>
      <c r="AG238" s="606"/>
      <c r="AH238" s="125"/>
      <c r="AI238" s="125"/>
      <c r="AJ238" s="125"/>
      <c r="AK238" s="125"/>
      <c r="AL238" s="125"/>
      <c r="AM238" s="125"/>
      <c r="AN238" s="125"/>
      <c r="AO238" s="125"/>
      <c r="AP238" s="125"/>
      <c r="AQ238" s="125"/>
      <c r="AR238" s="125"/>
      <c r="AS238" s="125"/>
      <c r="AT238" s="125"/>
      <c r="AU238" s="125"/>
      <c r="AV238" s="125"/>
      <c r="AW238" s="125"/>
      <c r="AX238" s="125"/>
      <c r="AY238" s="125"/>
      <c r="AZ238" s="125"/>
      <c r="BA238" s="828"/>
    </row>
    <row r="239" spans="1:53">
      <c r="A239" s="868"/>
      <c r="B239" s="843"/>
      <c r="C239" s="843"/>
      <c r="D239" s="843"/>
      <c r="E239" s="843"/>
      <c r="F239" s="843"/>
      <c r="G239" s="843"/>
      <c r="H239" s="843"/>
      <c r="I239" s="843"/>
      <c r="J239" s="843"/>
      <c r="K239" s="843"/>
      <c r="L239" s="843"/>
      <c r="M239" s="843"/>
      <c r="N239" s="843"/>
      <c r="O239" s="843"/>
      <c r="P239" s="843"/>
      <c r="Q239" s="843"/>
      <c r="R239" s="843"/>
      <c r="S239" s="843"/>
      <c r="T239" s="843"/>
      <c r="U239" s="843"/>
      <c r="V239" s="843"/>
      <c r="W239" s="843"/>
      <c r="X239" s="843"/>
      <c r="Y239" s="628"/>
      <c r="Z239" s="606"/>
      <c r="AA239" s="606"/>
      <c r="AB239" s="606"/>
      <c r="AC239" s="606"/>
      <c r="AD239" s="606"/>
      <c r="AE239" s="606"/>
      <c r="AF239" s="606"/>
      <c r="AG239" s="606"/>
      <c r="AH239" s="125"/>
      <c r="AI239" s="125"/>
      <c r="AJ239" s="125"/>
      <c r="AK239" s="125"/>
      <c r="AL239" s="125"/>
      <c r="AM239" s="125"/>
      <c r="AN239" s="125"/>
      <c r="AO239" s="125"/>
      <c r="AP239" s="125"/>
      <c r="AQ239" s="125"/>
      <c r="AR239" s="125"/>
      <c r="AS239" s="125"/>
      <c r="AT239" s="125"/>
      <c r="AU239" s="125"/>
      <c r="AV239" s="125"/>
      <c r="AW239" s="125"/>
      <c r="AX239" s="125"/>
      <c r="AY239" s="125"/>
      <c r="AZ239" s="125"/>
      <c r="BA239" s="828"/>
    </row>
    <row r="240" spans="1:53">
      <c r="A240" s="868"/>
      <c r="B240" s="843"/>
      <c r="C240" s="843"/>
      <c r="D240" s="843"/>
      <c r="E240" s="843"/>
      <c r="F240" s="843"/>
      <c r="G240" s="843"/>
      <c r="H240" s="843"/>
      <c r="I240" s="843"/>
      <c r="J240" s="843"/>
      <c r="K240" s="843"/>
      <c r="L240" s="843"/>
      <c r="M240" s="843"/>
      <c r="N240" s="843"/>
      <c r="O240" s="843"/>
      <c r="P240" s="843"/>
      <c r="Q240" s="843"/>
      <c r="R240" s="843"/>
      <c r="S240" s="843"/>
      <c r="T240" s="843"/>
      <c r="U240" s="843"/>
      <c r="V240" s="843"/>
      <c r="W240" s="843"/>
      <c r="X240" s="843"/>
      <c r="Y240" s="628"/>
      <c r="Z240" s="606"/>
      <c r="AA240" s="606"/>
      <c r="AB240" s="606"/>
      <c r="AC240" s="606"/>
      <c r="AD240" s="606"/>
      <c r="AE240" s="606"/>
      <c r="AF240" s="606"/>
      <c r="AG240" s="606"/>
      <c r="AH240" s="125"/>
      <c r="AI240" s="125"/>
      <c r="AJ240" s="125"/>
      <c r="AK240" s="125"/>
      <c r="AL240" s="125"/>
      <c r="AM240" s="125"/>
      <c r="AN240" s="125"/>
      <c r="AO240" s="125"/>
      <c r="AP240" s="125"/>
      <c r="AQ240" s="125"/>
      <c r="AR240" s="125"/>
      <c r="AS240" s="125"/>
      <c r="AT240" s="125"/>
      <c r="AU240" s="125"/>
      <c r="AV240" s="125"/>
      <c r="AW240" s="125"/>
      <c r="AX240" s="125"/>
      <c r="AY240" s="125"/>
      <c r="AZ240" s="125"/>
      <c r="BA240" s="828"/>
    </row>
    <row r="241" spans="1:53">
      <c r="A241" s="868"/>
      <c r="B241" s="843"/>
      <c r="C241" s="843"/>
      <c r="D241" s="843"/>
      <c r="E241" s="843"/>
      <c r="F241" s="843"/>
      <c r="G241" s="843"/>
      <c r="H241" s="843"/>
      <c r="I241" s="843"/>
      <c r="J241" s="843"/>
      <c r="K241" s="843"/>
      <c r="L241" s="843"/>
      <c r="M241" s="843"/>
      <c r="N241" s="843"/>
      <c r="O241" s="843"/>
      <c r="P241" s="843"/>
      <c r="Q241" s="843"/>
      <c r="R241" s="843"/>
      <c r="S241" s="843"/>
      <c r="T241" s="843"/>
      <c r="U241" s="843"/>
      <c r="V241" s="843"/>
      <c r="W241" s="843"/>
      <c r="X241" s="843"/>
      <c r="Y241" s="628"/>
      <c r="Z241" s="606"/>
      <c r="AA241" s="606"/>
      <c r="AB241" s="606"/>
      <c r="AC241" s="606"/>
      <c r="AD241" s="606"/>
      <c r="AE241" s="606"/>
      <c r="AF241" s="606"/>
      <c r="AG241" s="606"/>
      <c r="AH241" s="125"/>
      <c r="AI241" s="125"/>
      <c r="AJ241" s="125"/>
      <c r="AK241" s="125"/>
      <c r="AL241" s="125"/>
      <c r="AM241" s="125"/>
      <c r="AN241" s="125"/>
      <c r="AO241" s="125"/>
      <c r="AP241" s="125"/>
      <c r="AQ241" s="125"/>
      <c r="AR241" s="125"/>
      <c r="AS241" s="125"/>
      <c r="AT241" s="125"/>
      <c r="AU241" s="125"/>
      <c r="AV241" s="125"/>
      <c r="AW241" s="125"/>
      <c r="AX241" s="125"/>
      <c r="AY241" s="125"/>
      <c r="AZ241" s="125"/>
      <c r="BA241" s="828"/>
    </row>
    <row r="242" spans="1:53">
      <c r="A242" s="868"/>
      <c r="B242" s="843"/>
      <c r="C242" s="843"/>
      <c r="D242" s="843"/>
      <c r="E242" s="843"/>
      <c r="F242" s="843"/>
      <c r="G242" s="843"/>
      <c r="H242" s="843"/>
      <c r="I242" s="843"/>
      <c r="J242" s="843"/>
      <c r="K242" s="843"/>
      <c r="L242" s="843"/>
      <c r="M242" s="843"/>
      <c r="N242" s="843"/>
      <c r="O242" s="843"/>
      <c r="P242" s="843"/>
      <c r="Q242" s="843"/>
      <c r="R242" s="843"/>
      <c r="S242" s="843"/>
      <c r="T242" s="843"/>
      <c r="U242" s="843"/>
      <c r="V242" s="843"/>
      <c r="W242" s="843"/>
      <c r="X242" s="843"/>
      <c r="Y242" s="628"/>
      <c r="Z242" s="606"/>
      <c r="AA242" s="606"/>
      <c r="AB242" s="606"/>
      <c r="AC242" s="606"/>
      <c r="AD242" s="606"/>
      <c r="AE242" s="606"/>
      <c r="AF242" s="606"/>
      <c r="AG242" s="606"/>
      <c r="AH242" s="125"/>
      <c r="AI242" s="125"/>
      <c r="AJ242" s="125"/>
      <c r="AK242" s="125"/>
      <c r="AL242" s="125"/>
      <c r="AM242" s="125"/>
      <c r="AN242" s="125"/>
      <c r="AO242" s="125"/>
      <c r="AP242" s="125"/>
      <c r="AQ242" s="125"/>
      <c r="AR242" s="125"/>
      <c r="AS242" s="125"/>
      <c r="AT242" s="125"/>
      <c r="AU242" s="125"/>
      <c r="AV242" s="125"/>
      <c r="AW242" s="125"/>
      <c r="AX242" s="125"/>
      <c r="AY242" s="125"/>
      <c r="AZ242" s="125"/>
      <c r="BA242" s="828"/>
    </row>
    <row r="243" spans="1:53">
      <c r="A243" s="868"/>
      <c r="B243" s="843"/>
      <c r="C243" s="843"/>
      <c r="D243" s="843"/>
      <c r="E243" s="843"/>
      <c r="F243" s="843"/>
      <c r="G243" s="843"/>
      <c r="H243" s="843"/>
      <c r="I243" s="843"/>
      <c r="J243" s="843"/>
      <c r="K243" s="843"/>
      <c r="L243" s="843"/>
      <c r="M243" s="843"/>
      <c r="N243" s="843"/>
      <c r="O243" s="843"/>
      <c r="P243" s="843"/>
      <c r="Q243" s="843"/>
      <c r="R243" s="843"/>
      <c r="S243" s="843"/>
      <c r="T243" s="843"/>
      <c r="U243" s="843"/>
      <c r="V243" s="843"/>
      <c r="W243" s="843"/>
      <c r="X243" s="843"/>
      <c r="Y243" s="628"/>
      <c r="Z243" s="606"/>
      <c r="AA243" s="606"/>
      <c r="AB243" s="606"/>
      <c r="AC243" s="606"/>
      <c r="AD243" s="606"/>
      <c r="AE243" s="606"/>
      <c r="AF243" s="606"/>
      <c r="AG243" s="606"/>
      <c r="AH243" s="125"/>
      <c r="AI243" s="125"/>
      <c r="AJ243" s="125"/>
      <c r="AK243" s="125"/>
      <c r="AL243" s="125"/>
      <c r="AM243" s="125"/>
      <c r="AN243" s="125"/>
      <c r="AO243" s="125"/>
      <c r="AP243" s="125"/>
      <c r="AQ243" s="125"/>
      <c r="AR243" s="125"/>
      <c r="AS243" s="125"/>
      <c r="AT243" s="125"/>
      <c r="AU243" s="125"/>
      <c r="AV243" s="125"/>
      <c r="AW243" s="125"/>
      <c r="AX243" s="125"/>
      <c r="AY243" s="125"/>
      <c r="AZ243" s="125"/>
      <c r="BA243" s="828"/>
    </row>
    <row r="244" spans="1:53">
      <c r="A244" s="868"/>
      <c r="B244" s="843"/>
      <c r="C244" s="843"/>
      <c r="D244" s="843"/>
      <c r="E244" s="843"/>
      <c r="F244" s="843"/>
      <c r="G244" s="843"/>
      <c r="H244" s="843"/>
      <c r="I244" s="843"/>
      <c r="J244" s="843"/>
      <c r="K244" s="843"/>
      <c r="L244" s="843"/>
      <c r="M244" s="843"/>
      <c r="N244" s="843"/>
      <c r="O244" s="843"/>
      <c r="P244" s="843"/>
      <c r="Q244" s="843"/>
      <c r="R244" s="843"/>
      <c r="S244" s="843"/>
      <c r="T244" s="843"/>
      <c r="U244" s="843"/>
      <c r="V244" s="843"/>
      <c r="W244" s="843"/>
      <c r="X244" s="843"/>
      <c r="Y244" s="628"/>
      <c r="Z244" s="606"/>
      <c r="AA244" s="606"/>
      <c r="AB244" s="606"/>
      <c r="AC244" s="606"/>
      <c r="AD244" s="606"/>
      <c r="AE244" s="606"/>
      <c r="AF244" s="606"/>
      <c r="AG244" s="606"/>
      <c r="AH244" s="125"/>
      <c r="AI244" s="125"/>
      <c r="AJ244" s="125"/>
      <c r="AK244" s="125"/>
      <c r="AL244" s="125"/>
      <c r="AM244" s="125"/>
      <c r="AN244" s="125"/>
      <c r="AO244" s="125"/>
      <c r="AP244" s="125"/>
      <c r="AQ244" s="125"/>
      <c r="AR244" s="125"/>
      <c r="AS244" s="125"/>
      <c r="AT244" s="125"/>
      <c r="AU244" s="125"/>
      <c r="AV244" s="125"/>
      <c r="AW244" s="125"/>
      <c r="AX244" s="125"/>
      <c r="AY244" s="125"/>
      <c r="AZ244" s="125"/>
      <c r="BA244" s="828"/>
    </row>
    <row r="245" spans="1:53">
      <c r="A245" s="868"/>
      <c r="B245" s="843"/>
      <c r="C245" s="843"/>
      <c r="D245" s="843"/>
      <c r="E245" s="843"/>
      <c r="F245" s="843"/>
      <c r="G245" s="843"/>
      <c r="H245" s="843"/>
      <c r="I245" s="843"/>
      <c r="J245" s="843"/>
      <c r="K245" s="843"/>
      <c r="L245" s="843"/>
      <c r="M245" s="843"/>
      <c r="N245" s="843"/>
      <c r="O245" s="843"/>
      <c r="P245" s="843"/>
      <c r="Q245" s="843"/>
      <c r="R245" s="843"/>
      <c r="S245" s="843"/>
      <c r="T245" s="843"/>
      <c r="U245" s="843"/>
      <c r="V245" s="843"/>
      <c r="W245" s="843"/>
      <c r="X245" s="843"/>
      <c r="Y245" s="628"/>
      <c r="Z245" s="606"/>
      <c r="AA245" s="606"/>
      <c r="AB245" s="606"/>
      <c r="AC245" s="606"/>
      <c r="AD245" s="606"/>
      <c r="AE245" s="606"/>
      <c r="AF245" s="606"/>
      <c r="AG245" s="606"/>
      <c r="AH245" s="125"/>
      <c r="AI245" s="125"/>
      <c r="AJ245" s="125"/>
      <c r="AK245" s="125"/>
      <c r="AL245" s="125"/>
      <c r="AM245" s="125"/>
      <c r="AN245" s="125"/>
      <c r="AO245" s="125"/>
      <c r="AP245" s="125"/>
      <c r="AQ245" s="125"/>
      <c r="AR245" s="125"/>
      <c r="AS245" s="125"/>
      <c r="AT245" s="125"/>
      <c r="AU245" s="125"/>
      <c r="AV245" s="125"/>
      <c r="AW245" s="125"/>
      <c r="AX245" s="125"/>
      <c r="AY245" s="125"/>
      <c r="AZ245" s="125"/>
      <c r="BA245" s="828"/>
    </row>
    <row r="246" spans="1:53">
      <c r="A246" s="868"/>
      <c r="B246" s="843"/>
      <c r="C246" s="843"/>
      <c r="D246" s="843"/>
      <c r="E246" s="843"/>
      <c r="F246" s="843"/>
      <c r="G246" s="843"/>
      <c r="H246" s="843"/>
      <c r="I246" s="843"/>
      <c r="J246" s="843"/>
      <c r="K246" s="843"/>
      <c r="L246" s="843"/>
      <c r="M246" s="843"/>
      <c r="N246" s="843"/>
      <c r="O246" s="843"/>
      <c r="P246" s="843"/>
      <c r="Q246" s="843"/>
      <c r="R246" s="843"/>
      <c r="S246" s="843"/>
      <c r="T246" s="843"/>
      <c r="U246" s="843"/>
      <c r="V246" s="843"/>
      <c r="W246" s="843"/>
      <c r="X246" s="843"/>
      <c r="Y246" s="628"/>
      <c r="Z246" s="606"/>
      <c r="AA246" s="606"/>
      <c r="AB246" s="606"/>
      <c r="AC246" s="606"/>
      <c r="AD246" s="606"/>
      <c r="AE246" s="606"/>
      <c r="AF246" s="606"/>
      <c r="AG246" s="606"/>
      <c r="AH246" s="125"/>
      <c r="AI246" s="125"/>
      <c r="AJ246" s="125"/>
      <c r="AK246" s="125"/>
      <c r="AL246" s="125"/>
      <c r="AM246" s="125"/>
      <c r="AN246" s="125"/>
      <c r="AO246" s="125"/>
      <c r="AP246" s="125"/>
      <c r="AQ246" s="125"/>
      <c r="AR246" s="125"/>
      <c r="AS246" s="125"/>
      <c r="AT246" s="125"/>
      <c r="AU246" s="125"/>
      <c r="AV246" s="125"/>
      <c r="AW246" s="125"/>
      <c r="AX246" s="125"/>
      <c r="AY246" s="125"/>
      <c r="AZ246" s="125"/>
      <c r="BA246" s="828"/>
    </row>
    <row r="247" spans="1:53">
      <c r="A247" s="868"/>
      <c r="B247" s="843"/>
      <c r="C247" s="843"/>
      <c r="D247" s="843"/>
      <c r="E247" s="843"/>
      <c r="F247" s="843"/>
      <c r="G247" s="843"/>
      <c r="H247" s="843"/>
      <c r="I247" s="843"/>
      <c r="J247" s="843"/>
      <c r="K247" s="843"/>
      <c r="L247" s="843"/>
      <c r="M247" s="843"/>
      <c r="N247" s="843"/>
      <c r="O247" s="843"/>
      <c r="P247" s="843"/>
      <c r="Q247" s="843"/>
      <c r="R247" s="843"/>
      <c r="S247" s="843"/>
      <c r="T247" s="843"/>
      <c r="U247" s="843"/>
      <c r="V247" s="843"/>
      <c r="W247" s="843"/>
      <c r="X247" s="843"/>
      <c r="Y247" s="628"/>
      <c r="Z247" s="606"/>
      <c r="AA247" s="606"/>
      <c r="AB247" s="606"/>
      <c r="AC247" s="606"/>
      <c r="AD247" s="606"/>
      <c r="AE247" s="606"/>
      <c r="AF247" s="606"/>
      <c r="AG247" s="606"/>
      <c r="AH247" s="125"/>
      <c r="AI247" s="125"/>
      <c r="AJ247" s="125"/>
      <c r="AK247" s="125"/>
      <c r="AL247" s="125"/>
      <c r="AM247" s="125"/>
      <c r="AN247" s="125"/>
      <c r="AO247" s="125"/>
      <c r="AP247" s="125"/>
      <c r="AQ247" s="125"/>
      <c r="AR247" s="125"/>
      <c r="AS247" s="125"/>
      <c r="AT247" s="125"/>
      <c r="AU247" s="125"/>
      <c r="AV247" s="125"/>
      <c r="AW247" s="125"/>
      <c r="AX247" s="125"/>
      <c r="AY247" s="125"/>
      <c r="AZ247" s="125"/>
      <c r="BA247" s="828"/>
    </row>
    <row r="248" spans="1:53">
      <c r="A248" s="868"/>
      <c r="B248" s="843"/>
      <c r="C248" s="843"/>
      <c r="D248" s="843"/>
      <c r="E248" s="843"/>
      <c r="F248" s="843"/>
      <c r="G248" s="843"/>
      <c r="H248" s="843"/>
      <c r="I248" s="843"/>
      <c r="J248" s="843"/>
      <c r="K248" s="843"/>
      <c r="L248" s="843"/>
      <c r="M248" s="843"/>
      <c r="N248" s="843"/>
      <c r="O248" s="843"/>
      <c r="P248" s="843"/>
      <c r="Q248" s="843"/>
      <c r="R248" s="843"/>
      <c r="S248" s="843"/>
      <c r="T248" s="843"/>
      <c r="U248" s="843"/>
      <c r="V248" s="843"/>
      <c r="W248" s="843"/>
      <c r="X248" s="843"/>
      <c r="Y248" s="628"/>
      <c r="Z248" s="606"/>
      <c r="AA248" s="606"/>
      <c r="AB248" s="606"/>
      <c r="AC248" s="606"/>
      <c r="AD248" s="606"/>
      <c r="AE248" s="606"/>
      <c r="AF248" s="606"/>
      <c r="AG248" s="606"/>
      <c r="AH248" s="125"/>
      <c r="AI248" s="125"/>
      <c r="AJ248" s="125"/>
      <c r="AK248" s="125"/>
      <c r="AL248" s="125"/>
      <c r="AM248" s="125"/>
      <c r="AN248" s="125"/>
      <c r="AO248" s="125"/>
      <c r="AP248" s="125"/>
      <c r="AQ248" s="125"/>
      <c r="AR248" s="125"/>
      <c r="AS248" s="125"/>
      <c r="AT248" s="125"/>
      <c r="AU248" s="125"/>
      <c r="AV248" s="125"/>
      <c r="AW248" s="125"/>
      <c r="AX248" s="125"/>
      <c r="AY248" s="125"/>
      <c r="AZ248" s="125"/>
      <c r="BA248" s="828"/>
    </row>
    <row r="249" spans="1:53">
      <c r="A249" s="868"/>
      <c r="B249" s="843"/>
      <c r="C249" s="843"/>
      <c r="D249" s="843"/>
      <c r="E249" s="843"/>
      <c r="F249" s="843"/>
      <c r="G249" s="843"/>
      <c r="H249" s="843"/>
      <c r="I249" s="843"/>
      <c r="J249" s="843"/>
      <c r="K249" s="843"/>
      <c r="L249" s="843"/>
      <c r="M249" s="843"/>
      <c r="N249" s="843"/>
      <c r="O249" s="843"/>
      <c r="P249" s="843"/>
      <c r="Q249" s="843"/>
      <c r="R249" s="843"/>
      <c r="S249" s="843"/>
      <c r="T249" s="843"/>
      <c r="U249" s="843"/>
      <c r="V249" s="843"/>
      <c r="W249" s="843"/>
      <c r="X249" s="843"/>
      <c r="Y249" s="628"/>
      <c r="Z249" s="606"/>
      <c r="AA249" s="606"/>
      <c r="AB249" s="606"/>
      <c r="AC249" s="606"/>
      <c r="AD249" s="606"/>
      <c r="AE249" s="606"/>
      <c r="AF249" s="606"/>
      <c r="AG249" s="606"/>
      <c r="AH249" s="125"/>
      <c r="AI249" s="125"/>
      <c r="AJ249" s="125"/>
      <c r="AK249" s="125"/>
      <c r="AL249" s="125"/>
      <c r="AM249" s="125"/>
      <c r="AN249" s="125"/>
      <c r="AO249" s="125"/>
      <c r="AP249" s="125"/>
      <c r="AQ249" s="125"/>
      <c r="AR249" s="125"/>
      <c r="AS249" s="125"/>
      <c r="AT249" s="125"/>
      <c r="AU249" s="125"/>
      <c r="AV249" s="125"/>
      <c r="AW249" s="125"/>
      <c r="AX249" s="125"/>
      <c r="AY249" s="125"/>
      <c r="AZ249" s="125"/>
      <c r="BA249" s="828"/>
    </row>
    <row r="250" spans="1:53">
      <c r="A250" s="868"/>
      <c r="B250" s="843"/>
      <c r="C250" s="843"/>
      <c r="D250" s="843"/>
      <c r="E250" s="843"/>
      <c r="F250" s="843"/>
      <c r="G250" s="843"/>
      <c r="H250" s="843"/>
      <c r="I250" s="843"/>
      <c r="J250" s="843"/>
      <c r="K250" s="843"/>
      <c r="L250" s="843"/>
      <c r="M250" s="843"/>
      <c r="N250" s="843"/>
      <c r="O250" s="843"/>
      <c r="P250" s="843"/>
      <c r="Q250" s="843"/>
      <c r="R250" s="843"/>
      <c r="S250" s="843"/>
      <c r="T250" s="843"/>
      <c r="U250" s="843"/>
      <c r="V250" s="843"/>
      <c r="W250" s="843"/>
      <c r="X250" s="843"/>
      <c r="Y250" s="628"/>
      <c r="Z250" s="606"/>
      <c r="AA250" s="606"/>
      <c r="AB250" s="606"/>
      <c r="AC250" s="606"/>
      <c r="AD250" s="606"/>
      <c r="AE250" s="606"/>
      <c r="AF250" s="606"/>
      <c r="AG250" s="606"/>
      <c r="AH250" s="125"/>
      <c r="AI250" s="125"/>
      <c r="AJ250" s="125"/>
      <c r="AK250" s="125"/>
      <c r="AL250" s="125"/>
      <c r="AM250" s="125"/>
      <c r="AN250" s="125"/>
      <c r="AO250" s="125"/>
      <c r="AP250" s="125"/>
      <c r="AQ250" s="125"/>
      <c r="AR250" s="125"/>
      <c r="AS250" s="125"/>
      <c r="AT250" s="125"/>
      <c r="AU250" s="125"/>
      <c r="AV250" s="125"/>
      <c r="AW250" s="125"/>
      <c r="AX250" s="125"/>
      <c r="AY250" s="125"/>
      <c r="AZ250" s="125"/>
      <c r="BA250" s="828"/>
    </row>
    <row r="251" spans="1:53">
      <c r="A251" s="868"/>
      <c r="B251" s="843"/>
      <c r="C251" s="843"/>
      <c r="D251" s="843"/>
      <c r="E251" s="843"/>
      <c r="F251" s="843"/>
      <c r="G251" s="843"/>
      <c r="H251" s="843"/>
      <c r="I251" s="843"/>
      <c r="J251" s="843"/>
      <c r="K251" s="843"/>
      <c r="L251" s="843"/>
      <c r="M251" s="843"/>
      <c r="N251" s="843"/>
      <c r="O251" s="843"/>
      <c r="P251" s="843"/>
      <c r="Q251" s="843"/>
      <c r="R251" s="843"/>
      <c r="S251" s="843"/>
      <c r="T251" s="843"/>
      <c r="U251" s="843"/>
      <c r="V251" s="843"/>
      <c r="W251" s="843"/>
      <c r="X251" s="843"/>
      <c r="Y251" s="628"/>
      <c r="Z251" s="606"/>
      <c r="AA251" s="606"/>
      <c r="AB251" s="606"/>
      <c r="AC251" s="606"/>
      <c r="AD251" s="606"/>
      <c r="AE251" s="606"/>
      <c r="AF251" s="606"/>
      <c r="AG251" s="606"/>
      <c r="AH251" s="125"/>
      <c r="AI251" s="125"/>
      <c r="AJ251" s="125"/>
      <c r="AK251" s="125"/>
      <c r="AL251" s="125"/>
      <c r="AM251" s="125"/>
      <c r="AN251" s="125"/>
      <c r="AO251" s="125"/>
      <c r="AP251" s="125"/>
      <c r="AQ251" s="125"/>
      <c r="AR251" s="125"/>
      <c r="AS251" s="125"/>
      <c r="AT251" s="125"/>
      <c r="AU251" s="125"/>
      <c r="AV251" s="125"/>
      <c r="AW251" s="125"/>
      <c r="AX251" s="125"/>
      <c r="AY251" s="125"/>
      <c r="AZ251" s="125"/>
      <c r="BA251" s="828"/>
    </row>
    <row r="252" spans="1:53">
      <c r="A252" s="868"/>
      <c r="B252" s="843"/>
      <c r="C252" s="843"/>
      <c r="D252" s="843"/>
      <c r="E252" s="843"/>
      <c r="F252" s="843"/>
      <c r="G252" s="843"/>
      <c r="H252" s="843"/>
      <c r="I252" s="843"/>
      <c r="J252" s="843"/>
      <c r="K252" s="843"/>
      <c r="L252" s="843"/>
      <c r="M252" s="843"/>
      <c r="N252" s="843"/>
      <c r="O252" s="843"/>
      <c r="P252" s="843"/>
      <c r="Q252" s="843"/>
      <c r="R252" s="843"/>
      <c r="S252" s="843"/>
      <c r="T252" s="843"/>
      <c r="U252" s="843"/>
      <c r="V252" s="843"/>
      <c r="W252" s="843"/>
      <c r="X252" s="843"/>
      <c r="Y252" s="628"/>
      <c r="Z252" s="606"/>
      <c r="AA252" s="606"/>
      <c r="AB252" s="606"/>
      <c r="AC252" s="606"/>
      <c r="AD252" s="606"/>
      <c r="AE252" s="606"/>
      <c r="AF252" s="606"/>
      <c r="AG252" s="606"/>
      <c r="AH252" s="125"/>
      <c r="AI252" s="125"/>
      <c r="AJ252" s="125"/>
      <c r="AK252" s="125"/>
      <c r="AL252" s="125"/>
      <c r="AM252" s="125"/>
      <c r="AN252" s="125"/>
      <c r="AO252" s="125"/>
      <c r="AP252" s="125"/>
      <c r="AQ252" s="125"/>
      <c r="AR252" s="125"/>
      <c r="AS252" s="125"/>
      <c r="AT252" s="125"/>
      <c r="AU252" s="125"/>
      <c r="AV252" s="125"/>
      <c r="AW252" s="125"/>
      <c r="AX252" s="125"/>
      <c r="AY252" s="125"/>
      <c r="AZ252" s="125"/>
      <c r="BA252" s="828"/>
    </row>
    <row r="253" spans="1:53">
      <c r="A253" s="868"/>
      <c r="B253" s="843"/>
      <c r="C253" s="843"/>
      <c r="D253" s="843"/>
      <c r="E253" s="843"/>
      <c r="F253" s="843"/>
      <c r="G253" s="843"/>
      <c r="H253" s="843"/>
      <c r="I253" s="843"/>
      <c r="J253" s="843"/>
      <c r="K253" s="843"/>
      <c r="L253" s="843"/>
      <c r="M253" s="843"/>
      <c r="N253" s="843"/>
      <c r="O253" s="843"/>
      <c r="P253" s="843"/>
      <c r="Q253" s="843"/>
      <c r="R253" s="843"/>
      <c r="S253" s="843"/>
      <c r="T253" s="843"/>
      <c r="U253" s="843"/>
      <c r="V253" s="843"/>
      <c r="W253" s="843"/>
      <c r="X253" s="843"/>
      <c r="Y253" s="628"/>
      <c r="Z253" s="606"/>
      <c r="AA253" s="606"/>
      <c r="AB253" s="606"/>
      <c r="AC253" s="606"/>
      <c r="AD253" s="606"/>
      <c r="AE253" s="606"/>
      <c r="AF253" s="606"/>
      <c r="AG253" s="606"/>
      <c r="AH253" s="125"/>
      <c r="AI253" s="125"/>
      <c r="AJ253" s="125"/>
      <c r="AK253" s="125"/>
      <c r="AL253" s="125"/>
      <c r="AM253" s="125"/>
      <c r="AN253" s="125"/>
      <c r="AO253" s="125"/>
      <c r="AP253" s="125"/>
      <c r="AQ253" s="125"/>
      <c r="AR253" s="125"/>
      <c r="AS253" s="125"/>
      <c r="AT253" s="125"/>
      <c r="AU253" s="125"/>
      <c r="AV253" s="125"/>
      <c r="AW253" s="125"/>
      <c r="AX253" s="125"/>
      <c r="AY253" s="125"/>
      <c r="AZ253" s="125"/>
      <c r="BA253" s="828"/>
    </row>
    <row r="254" spans="1:53">
      <c r="A254" s="868"/>
      <c r="B254" s="843"/>
      <c r="C254" s="843"/>
      <c r="D254" s="843"/>
      <c r="E254" s="843"/>
      <c r="F254" s="843"/>
      <c r="G254" s="843"/>
      <c r="H254" s="843"/>
      <c r="I254" s="843"/>
      <c r="J254" s="843"/>
      <c r="K254" s="843"/>
      <c r="L254" s="843"/>
      <c r="M254" s="843"/>
      <c r="N254" s="843"/>
      <c r="O254" s="843"/>
      <c r="P254" s="843"/>
      <c r="Q254" s="843"/>
      <c r="R254" s="843"/>
      <c r="S254" s="843"/>
      <c r="T254" s="843"/>
      <c r="U254" s="843"/>
      <c r="V254" s="843"/>
      <c r="W254" s="843"/>
      <c r="X254" s="843"/>
      <c r="Y254" s="628"/>
      <c r="Z254" s="606"/>
      <c r="AA254" s="606"/>
      <c r="AB254" s="606"/>
      <c r="AC254" s="606"/>
      <c r="AD254" s="606"/>
      <c r="AE254" s="606"/>
      <c r="AF254" s="606"/>
      <c r="AG254" s="606"/>
      <c r="AH254" s="125"/>
      <c r="AI254" s="125"/>
      <c r="AJ254" s="125"/>
      <c r="AK254" s="125"/>
      <c r="AL254" s="125"/>
      <c r="AM254" s="125"/>
      <c r="AN254" s="125"/>
      <c r="AO254" s="125"/>
      <c r="AP254" s="125"/>
      <c r="AQ254" s="125"/>
      <c r="AR254" s="125"/>
      <c r="AS254" s="125"/>
      <c r="AT254" s="125"/>
      <c r="AU254" s="125"/>
      <c r="AV254" s="125"/>
      <c r="AW254" s="125"/>
      <c r="AX254" s="125"/>
      <c r="AY254" s="125"/>
      <c r="AZ254" s="125"/>
      <c r="BA254" s="828"/>
    </row>
    <row r="255" spans="1:53">
      <c r="A255" s="868"/>
      <c r="B255" s="843"/>
      <c r="C255" s="843"/>
      <c r="D255" s="843"/>
      <c r="E255" s="843"/>
      <c r="F255" s="843"/>
      <c r="G255" s="843"/>
      <c r="H255" s="843"/>
      <c r="I255" s="843"/>
      <c r="J255" s="843"/>
      <c r="K255" s="843"/>
      <c r="L255" s="843"/>
      <c r="M255" s="843"/>
      <c r="N255" s="843"/>
      <c r="O255" s="843"/>
      <c r="P255" s="843"/>
      <c r="Q255" s="843"/>
      <c r="R255" s="843"/>
      <c r="S255" s="843"/>
      <c r="T255" s="843"/>
      <c r="U255" s="843"/>
      <c r="V255" s="843"/>
      <c r="W255" s="843"/>
      <c r="X255" s="843"/>
      <c r="Y255" s="628"/>
      <c r="Z255" s="606"/>
      <c r="AA255" s="606"/>
      <c r="AB255" s="606"/>
      <c r="AC255" s="606"/>
      <c r="AD255" s="606"/>
      <c r="AE255" s="606"/>
      <c r="AF255" s="606"/>
      <c r="AG255" s="606"/>
      <c r="AH255" s="125"/>
      <c r="AI255" s="125"/>
      <c r="AJ255" s="125"/>
      <c r="AK255" s="125"/>
      <c r="AL255" s="125"/>
      <c r="AM255" s="125"/>
      <c r="AN255" s="125"/>
      <c r="AO255" s="125"/>
      <c r="AP255" s="125"/>
      <c r="AQ255" s="125"/>
      <c r="AR255" s="125"/>
      <c r="AS255" s="125"/>
      <c r="AT255" s="125"/>
      <c r="AU255" s="125"/>
      <c r="AV255" s="125"/>
      <c r="AW255" s="125"/>
      <c r="AX255" s="125"/>
      <c r="AY255" s="125"/>
      <c r="AZ255" s="125"/>
      <c r="BA255" s="828"/>
    </row>
    <row r="256" spans="1:53">
      <c r="A256" s="868"/>
      <c r="B256" s="843"/>
      <c r="C256" s="843"/>
      <c r="D256" s="843"/>
      <c r="E256" s="843"/>
      <c r="F256" s="843"/>
      <c r="G256" s="843"/>
      <c r="H256" s="843"/>
      <c r="I256" s="843"/>
      <c r="J256" s="843"/>
      <c r="K256" s="843"/>
      <c r="L256" s="843"/>
      <c r="M256" s="843"/>
      <c r="N256" s="843"/>
      <c r="O256" s="843"/>
      <c r="P256" s="843"/>
      <c r="Q256" s="843"/>
      <c r="R256" s="843"/>
      <c r="S256" s="843"/>
      <c r="T256" s="843"/>
      <c r="U256" s="843"/>
      <c r="V256" s="843"/>
      <c r="W256" s="843"/>
      <c r="X256" s="843"/>
      <c r="Y256" s="628"/>
      <c r="Z256" s="606"/>
      <c r="AA256" s="606"/>
      <c r="AB256" s="606"/>
      <c r="AC256" s="606"/>
      <c r="AD256" s="606"/>
      <c r="AE256" s="606"/>
      <c r="AF256" s="606"/>
      <c r="AG256" s="606"/>
      <c r="AH256" s="125"/>
      <c r="AI256" s="125"/>
      <c r="AJ256" s="125"/>
      <c r="AK256" s="125"/>
      <c r="AL256" s="125"/>
      <c r="AM256" s="125"/>
      <c r="AN256" s="125"/>
      <c r="AO256" s="125"/>
      <c r="AP256" s="125"/>
      <c r="AQ256" s="125"/>
      <c r="AR256" s="125"/>
      <c r="AS256" s="125"/>
      <c r="AT256" s="125"/>
      <c r="AU256" s="125"/>
      <c r="AV256" s="125"/>
      <c r="AW256" s="125"/>
      <c r="AX256" s="125"/>
      <c r="AY256" s="125"/>
      <c r="AZ256" s="125"/>
      <c r="BA256" s="828"/>
    </row>
    <row r="257" spans="1:53">
      <c r="A257" s="868"/>
      <c r="B257" s="843"/>
      <c r="C257" s="843"/>
      <c r="D257" s="843"/>
      <c r="E257" s="843"/>
      <c r="F257" s="843"/>
      <c r="G257" s="843"/>
      <c r="H257" s="843"/>
      <c r="I257" s="843"/>
      <c r="J257" s="843"/>
      <c r="K257" s="843"/>
      <c r="L257" s="843"/>
      <c r="M257" s="843"/>
      <c r="N257" s="843"/>
      <c r="O257" s="843"/>
      <c r="P257" s="843"/>
      <c r="Q257" s="843"/>
      <c r="R257" s="843"/>
      <c r="S257" s="843"/>
      <c r="T257" s="843"/>
      <c r="U257" s="843"/>
      <c r="V257" s="843"/>
      <c r="W257" s="843"/>
      <c r="X257" s="843"/>
      <c r="Y257" s="628"/>
      <c r="Z257" s="606"/>
      <c r="AA257" s="606"/>
      <c r="AB257" s="606"/>
      <c r="AC257" s="606"/>
      <c r="AD257" s="606"/>
      <c r="AE257" s="606"/>
      <c r="AF257" s="606"/>
      <c r="AG257" s="606"/>
      <c r="AH257" s="125"/>
      <c r="AI257" s="125"/>
      <c r="AJ257" s="125"/>
      <c r="AK257" s="125"/>
      <c r="AL257" s="125"/>
      <c r="AM257" s="125"/>
      <c r="AN257" s="125"/>
      <c r="AO257" s="125"/>
      <c r="AP257" s="125"/>
      <c r="AQ257" s="125"/>
      <c r="AR257" s="125"/>
      <c r="AS257" s="125"/>
      <c r="AT257" s="125"/>
      <c r="AU257" s="125"/>
      <c r="AV257" s="125"/>
      <c r="AW257" s="125"/>
      <c r="AX257" s="125"/>
      <c r="AY257" s="125"/>
      <c r="AZ257" s="125"/>
      <c r="BA257" s="828"/>
    </row>
    <row r="258" spans="1:53" ht="13.9" customHeight="1">
      <c r="A258" s="868"/>
      <c r="B258" s="843"/>
      <c r="C258" s="843"/>
      <c r="D258" s="843"/>
      <c r="E258" s="843"/>
      <c r="F258" s="843"/>
      <c r="G258" s="843"/>
      <c r="H258" s="843"/>
      <c r="I258" s="843"/>
      <c r="J258" s="843"/>
      <c r="K258" s="843"/>
      <c r="L258" s="843"/>
      <c r="M258" s="843"/>
      <c r="N258" s="843"/>
      <c r="O258" s="843"/>
      <c r="P258" s="843"/>
      <c r="Q258" s="843"/>
      <c r="R258" s="843"/>
      <c r="S258" s="843"/>
      <c r="T258" s="843"/>
      <c r="U258" s="843"/>
      <c r="V258" s="843"/>
      <c r="W258" s="843"/>
      <c r="X258" s="843"/>
      <c r="Y258" s="628"/>
      <c r="Z258" s="606"/>
      <c r="AA258" s="606"/>
      <c r="AB258" s="606"/>
      <c r="AC258" s="606"/>
      <c r="AD258" s="606"/>
      <c r="AE258" s="606"/>
      <c r="AF258" s="606"/>
      <c r="AG258" s="606"/>
      <c r="AH258" s="125"/>
      <c r="AI258" s="125"/>
      <c r="AJ258" s="125"/>
      <c r="AK258" s="125"/>
      <c r="AL258" s="125"/>
      <c r="AM258" s="125"/>
      <c r="AN258" s="125"/>
      <c r="AO258" s="125"/>
      <c r="AP258" s="125"/>
      <c r="AQ258" s="125"/>
      <c r="AR258" s="125"/>
      <c r="AS258" s="125"/>
      <c r="AT258" s="125"/>
      <c r="AU258" s="125"/>
      <c r="AV258" s="125"/>
      <c r="AW258" s="125"/>
      <c r="AX258" s="125"/>
      <c r="AY258" s="125"/>
      <c r="AZ258" s="125"/>
      <c r="BA258" s="828"/>
    </row>
    <row r="259" spans="1:53" ht="13.9" customHeight="1">
      <c r="A259" s="868"/>
      <c r="B259" s="843"/>
      <c r="C259" s="843"/>
      <c r="D259" s="843"/>
      <c r="E259" s="843"/>
      <c r="F259" s="843"/>
      <c r="G259" s="843"/>
      <c r="H259" s="843"/>
      <c r="I259" s="843"/>
      <c r="J259" s="843"/>
      <c r="K259" s="843"/>
      <c r="L259" s="843"/>
      <c r="M259" s="843"/>
      <c r="N259" s="843"/>
      <c r="O259" s="843"/>
      <c r="P259" s="843"/>
      <c r="Q259" s="843"/>
      <c r="R259" s="843"/>
      <c r="S259" s="843"/>
      <c r="T259" s="843"/>
      <c r="U259" s="843"/>
      <c r="V259" s="843"/>
      <c r="W259" s="843"/>
      <c r="X259" s="843"/>
      <c r="Y259" s="628"/>
      <c r="Z259" s="606"/>
      <c r="AA259" s="606"/>
      <c r="AB259" s="606"/>
      <c r="AC259" s="606"/>
      <c r="AD259" s="606"/>
      <c r="AE259" s="606"/>
      <c r="AF259" s="606"/>
      <c r="AG259" s="606"/>
      <c r="AH259" s="125"/>
      <c r="AI259" s="125"/>
      <c r="AJ259" s="125"/>
      <c r="AK259" s="125"/>
      <c r="AL259" s="125"/>
      <c r="AM259" s="125"/>
      <c r="AN259" s="125"/>
      <c r="AO259" s="125"/>
      <c r="AP259" s="125"/>
      <c r="AQ259" s="125"/>
      <c r="AR259" s="125"/>
      <c r="AS259" s="125"/>
      <c r="AT259" s="125"/>
      <c r="AU259" s="125"/>
      <c r="AV259" s="125"/>
      <c r="AW259" s="125"/>
      <c r="AX259" s="125"/>
      <c r="AY259" s="125"/>
      <c r="AZ259" s="125"/>
      <c r="BA259" s="828"/>
    </row>
    <row r="260" spans="1:53">
      <c r="A260" s="868"/>
      <c r="B260" s="843"/>
      <c r="C260" s="843"/>
      <c r="D260" s="843"/>
      <c r="E260" s="843"/>
      <c r="F260" s="843"/>
      <c r="G260" s="843"/>
      <c r="H260" s="843"/>
      <c r="I260" s="843"/>
      <c r="J260" s="843"/>
      <c r="K260" s="843"/>
      <c r="L260" s="843"/>
      <c r="M260" s="843"/>
      <c r="N260" s="843"/>
      <c r="O260" s="843"/>
      <c r="P260" s="843"/>
      <c r="Q260" s="843"/>
      <c r="R260" s="843"/>
      <c r="S260" s="843"/>
      <c r="T260" s="843"/>
      <c r="U260" s="843"/>
      <c r="V260" s="843"/>
      <c r="W260" s="843"/>
      <c r="X260" s="843"/>
      <c r="Y260" s="628"/>
      <c r="Z260" s="606"/>
      <c r="AA260" s="606"/>
      <c r="AB260" s="606"/>
      <c r="AC260" s="606"/>
      <c r="AD260" s="606"/>
      <c r="AE260" s="606"/>
      <c r="AF260" s="606"/>
      <c r="AG260" s="606"/>
      <c r="AH260" s="125"/>
      <c r="AI260" s="125"/>
      <c r="AJ260" s="125"/>
      <c r="AK260" s="125"/>
      <c r="AL260" s="125"/>
      <c r="AM260" s="125"/>
      <c r="AN260" s="125"/>
      <c r="AO260" s="125"/>
      <c r="AP260" s="125"/>
      <c r="AQ260" s="125"/>
      <c r="AR260" s="125"/>
      <c r="AS260" s="125"/>
      <c r="AT260" s="125"/>
      <c r="AU260" s="125"/>
      <c r="AV260" s="125"/>
      <c r="AW260" s="125"/>
      <c r="AX260" s="125"/>
      <c r="AY260" s="125"/>
      <c r="AZ260" s="125"/>
      <c r="BA260" s="828"/>
    </row>
    <row r="261" spans="1:53">
      <c r="A261" s="868"/>
      <c r="B261" s="843"/>
      <c r="C261" s="843"/>
      <c r="D261" s="843"/>
      <c r="E261" s="843"/>
      <c r="F261" s="843"/>
      <c r="G261" s="843"/>
      <c r="H261" s="843"/>
      <c r="I261" s="843"/>
      <c r="J261" s="843"/>
      <c r="K261" s="843"/>
      <c r="L261" s="843"/>
      <c r="M261" s="843"/>
      <c r="N261" s="843"/>
      <c r="O261" s="843"/>
      <c r="P261" s="843"/>
      <c r="Q261" s="843"/>
      <c r="R261" s="843"/>
      <c r="S261" s="843"/>
      <c r="T261" s="843"/>
      <c r="U261" s="843"/>
      <c r="V261" s="843"/>
      <c r="W261" s="843"/>
      <c r="X261" s="843"/>
      <c r="Y261" s="628"/>
      <c r="Z261" s="606"/>
      <c r="AA261" s="606"/>
      <c r="AB261" s="606"/>
      <c r="AC261" s="606"/>
      <c r="AD261" s="606"/>
      <c r="AE261" s="606"/>
      <c r="AF261" s="606"/>
      <c r="AG261" s="606"/>
      <c r="AH261" s="125"/>
      <c r="AI261" s="125"/>
      <c r="AJ261" s="125"/>
      <c r="AK261" s="125"/>
      <c r="AL261" s="125"/>
      <c r="AM261" s="125"/>
      <c r="AN261" s="125"/>
      <c r="AO261" s="125"/>
      <c r="AP261" s="125"/>
      <c r="AQ261" s="125"/>
      <c r="AR261" s="125"/>
      <c r="AS261" s="125"/>
      <c r="AT261" s="125"/>
      <c r="AU261" s="125"/>
      <c r="AV261" s="125"/>
      <c r="AW261" s="125"/>
      <c r="AX261" s="125"/>
      <c r="AY261" s="125"/>
      <c r="AZ261" s="125"/>
      <c r="BA261" s="828"/>
    </row>
    <row r="262" spans="1:53">
      <c r="A262" s="868"/>
      <c r="B262" s="843"/>
      <c r="C262" s="843"/>
      <c r="D262" s="843"/>
      <c r="E262" s="843"/>
      <c r="F262" s="843"/>
      <c r="G262" s="843"/>
      <c r="H262" s="843"/>
      <c r="I262" s="843"/>
      <c r="J262" s="843"/>
      <c r="K262" s="843"/>
      <c r="L262" s="843"/>
      <c r="M262" s="843"/>
      <c r="N262" s="843"/>
      <c r="O262" s="843"/>
      <c r="P262" s="843"/>
      <c r="Q262" s="843"/>
      <c r="R262" s="843"/>
      <c r="S262" s="843"/>
      <c r="T262" s="843"/>
      <c r="U262" s="843"/>
      <c r="V262" s="843"/>
      <c r="W262" s="843"/>
      <c r="X262" s="843"/>
      <c r="Y262" s="628"/>
      <c r="Z262" s="606"/>
      <c r="AA262" s="606"/>
      <c r="AB262" s="606"/>
      <c r="AC262" s="606"/>
      <c r="AD262" s="606"/>
      <c r="AE262" s="606"/>
      <c r="AF262" s="606"/>
      <c r="AG262" s="606"/>
      <c r="AH262" s="125"/>
      <c r="AI262" s="125"/>
      <c r="AJ262" s="125"/>
      <c r="AK262" s="125"/>
      <c r="AL262" s="125"/>
      <c r="AM262" s="125"/>
      <c r="AN262" s="125"/>
      <c r="AO262" s="125"/>
      <c r="AP262" s="125"/>
      <c r="AQ262" s="125"/>
      <c r="AR262" s="125"/>
      <c r="AS262" s="125"/>
      <c r="AT262" s="125"/>
      <c r="AU262" s="125"/>
      <c r="AV262" s="125"/>
      <c r="AW262" s="125"/>
      <c r="AX262" s="125"/>
      <c r="AY262" s="125"/>
      <c r="AZ262" s="125"/>
      <c r="BA262" s="828"/>
    </row>
    <row r="263" spans="1:53">
      <c r="A263" s="868"/>
      <c r="B263" s="843"/>
      <c r="C263" s="843"/>
      <c r="D263" s="843"/>
      <c r="E263" s="843"/>
      <c r="F263" s="843"/>
      <c r="G263" s="843"/>
      <c r="H263" s="843"/>
      <c r="I263" s="843"/>
      <c r="J263" s="843"/>
      <c r="K263" s="843"/>
      <c r="L263" s="843"/>
      <c r="M263" s="843"/>
      <c r="N263" s="843"/>
      <c r="O263" s="843"/>
      <c r="P263" s="843"/>
      <c r="Q263" s="843"/>
      <c r="R263" s="843"/>
      <c r="S263" s="843"/>
      <c r="T263" s="843"/>
      <c r="U263" s="843"/>
      <c r="V263" s="843"/>
      <c r="W263" s="843"/>
      <c r="X263" s="843"/>
      <c r="Y263" s="628"/>
      <c r="Z263" s="606"/>
      <c r="AA263" s="606"/>
      <c r="AB263" s="606"/>
      <c r="AC263" s="606"/>
      <c r="AD263" s="606"/>
      <c r="AE263" s="606"/>
      <c r="AF263" s="606"/>
      <c r="AG263" s="606"/>
      <c r="AH263" s="125"/>
      <c r="AI263" s="125"/>
      <c r="AJ263" s="125"/>
      <c r="AK263" s="125"/>
      <c r="AL263" s="125"/>
      <c r="AM263" s="125"/>
      <c r="AN263" s="125"/>
      <c r="AO263" s="125"/>
      <c r="AP263" s="125"/>
      <c r="AQ263" s="125"/>
      <c r="AR263" s="125"/>
      <c r="AS263" s="125"/>
      <c r="AT263" s="125"/>
      <c r="AU263" s="125"/>
      <c r="AV263" s="125"/>
      <c r="AW263" s="125"/>
      <c r="AX263" s="125"/>
      <c r="AY263" s="125"/>
      <c r="AZ263" s="125"/>
      <c r="BA263" s="828"/>
    </row>
    <row r="264" spans="1:53">
      <c r="A264" s="868"/>
      <c r="B264" s="843"/>
      <c r="C264" s="843"/>
      <c r="D264" s="843"/>
      <c r="E264" s="843"/>
      <c r="F264" s="843"/>
      <c r="G264" s="843"/>
      <c r="H264" s="843"/>
      <c r="I264" s="843"/>
      <c r="J264" s="843"/>
      <c r="K264" s="843"/>
      <c r="L264" s="843"/>
      <c r="M264" s="843"/>
      <c r="N264" s="843"/>
      <c r="O264" s="843"/>
      <c r="P264" s="843"/>
      <c r="Q264" s="843"/>
      <c r="R264" s="843"/>
      <c r="S264" s="843"/>
      <c r="T264" s="843"/>
      <c r="U264" s="843"/>
      <c r="V264" s="843"/>
      <c r="W264" s="843"/>
      <c r="X264" s="843"/>
      <c r="Y264" s="628"/>
      <c r="Z264" s="606"/>
      <c r="AA264" s="606"/>
      <c r="AB264" s="606"/>
      <c r="AC264" s="606"/>
      <c r="AD264" s="606"/>
      <c r="AE264" s="606"/>
      <c r="AF264" s="606"/>
      <c r="AG264" s="606"/>
      <c r="AH264" s="125"/>
      <c r="AI264" s="125"/>
      <c r="AJ264" s="125"/>
      <c r="AK264" s="125"/>
      <c r="AL264" s="125"/>
      <c r="AM264" s="125"/>
      <c r="AN264" s="125"/>
      <c r="AO264" s="125"/>
      <c r="AP264" s="125"/>
      <c r="AQ264" s="125"/>
      <c r="AR264" s="125"/>
      <c r="AS264" s="125"/>
      <c r="AT264" s="125"/>
      <c r="AU264" s="125"/>
      <c r="AV264" s="125"/>
      <c r="AW264" s="125"/>
      <c r="AX264" s="125"/>
      <c r="AY264" s="125"/>
      <c r="AZ264" s="125"/>
      <c r="BA264" s="828"/>
    </row>
    <row r="265" spans="1:53">
      <c r="A265" s="868"/>
      <c r="B265" s="843"/>
      <c r="C265" s="843"/>
      <c r="D265" s="843"/>
      <c r="E265" s="843"/>
      <c r="F265" s="843"/>
      <c r="G265" s="843"/>
      <c r="H265" s="843"/>
      <c r="I265" s="843"/>
      <c r="J265" s="843"/>
      <c r="K265" s="843"/>
      <c r="L265" s="843"/>
      <c r="M265" s="843"/>
      <c r="N265" s="843"/>
      <c r="O265" s="843"/>
      <c r="P265" s="843"/>
      <c r="Q265" s="843"/>
      <c r="R265" s="843"/>
      <c r="S265" s="843"/>
      <c r="T265" s="843"/>
      <c r="U265" s="843"/>
      <c r="V265" s="843"/>
      <c r="W265" s="843"/>
      <c r="X265" s="843"/>
      <c r="Y265" s="628"/>
      <c r="Z265" s="606"/>
      <c r="AA265" s="606"/>
      <c r="AB265" s="606"/>
      <c r="AC265" s="606"/>
      <c r="AD265" s="606"/>
      <c r="AE265" s="606"/>
      <c r="AF265" s="606"/>
      <c r="AG265" s="606"/>
      <c r="AH265" s="125"/>
      <c r="AI265" s="125"/>
      <c r="AJ265" s="125"/>
      <c r="AK265" s="125"/>
      <c r="AL265" s="125"/>
      <c r="AM265" s="125"/>
      <c r="AN265" s="125"/>
      <c r="AO265" s="125"/>
      <c r="AP265" s="125"/>
      <c r="AQ265" s="125"/>
      <c r="AR265" s="125"/>
      <c r="AS265" s="125"/>
      <c r="AT265" s="125"/>
      <c r="AU265" s="125"/>
      <c r="AV265" s="125"/>
      <c r="AW265" s="125"/>
      <c r="AX265" s="125"/>
      <c r="AY265" s="125"/>
      <c r="AZ265" s="125"/>
      <c r="BA265" s="829"/>
    </row>
    <row r="266" spans="1:53">
      <c r="A266" s="868"/>
      <c r="B266" s="843"/>
      <c r="C266" s="843"/>
      <c r="D266" s="843"/>
      <c r="E266" s="843"/>
      <c r="F266" s="843"/>
      <c r="G266" s="843"/>
      <c r="H266" s="843"/>
      <c r="I266" s="843"/>
      <c r="J266" s="843"/>
      <c r="K266" s="843"/>
      <c r="L266" s="843"/>
      <c r="M266" s="843"/>
      <c r="N266" s="843"/>
      <c r="O266" s="843"/>
      <c r="P266" s="843"/>
      <c r="Q266" s="843"/>
      <c r="R266" s="843"/>
      <c r="S266" s="843"/>
      <c r="T266" s="843"/>
      <c r="U266" s="843"/>
      <c r="V266" s="843"/>
      <c r="W266" s="843"/>
      <c r="X266" s="843"/>
      <c r="Y266" s="628"/>
      <c r="Z266" s="606"/>
      <c r="AA266" s="606"/>
      <c r="AB266" s="606"/>
      <c r="AC266" s="606"/>
      <c r="AD266" s="606"/>
      <c r="AE266" s="606"/>
      <c r="AF266" s="606"/>
      <c r="AG266" s="606"/>
      <c r="AH266" s="125"/>
      <c r="AI266" s="125"/>
      <c r="AJ266" s="125"/>
      <c r="AK266" s="125"/>
      <c r="AL266" s="125"/>
      <c r="AM266" s="125"/>
      <c r="AN266" s="125"/>
      <c r="AO266" s="125"/>
      <c r="AP266" s="125"/>
      <c r="AQ266" s="125"/>
      <c r="AR266" s="125"/>
      <c r="AS266" s="125"/>
      <c r="AT266" s="125"/>
      <c r="AU266" s="125"/>
      <c r="AV266" s="125"/>
      <c r="AW266" s="125"/>
      <c r="AX266" s="125"/>
      <c r="AY266" s="125"/>
      <c r="AZ266" s="125"/>
      <c r="BA266" s="829"/>
    </row>
    <row r="267" spans="1:53">
      <c r="A267" s="868"/>
      <c r="B267" s="843"/>
      <c r="C267" s="843"/>
      <c r="D267" s="843"/>
      <c r="E267" s="843"/>
      <c r="F267" s="843"/>
      <c r="G267" s="843"/>
      <c r="H267" s="843"/>
      <c r="I267" s="843"/>
      <c r="J267" s="843"/>
      <c r="K267" s="843"/>
      <c r="L267" s="843"/>
      <c r="M267" s="843"/>
      <c r="N267" s="843"/>
      <c r="O267" s="843"/>
      <c r="P267" s="843"/>
      <c r="Q267" s="843"/>
      <c r="R267" s="843"/>
      <c r="S267" s="843"/>
      <c r="T267" s="843"/>
      <c r="U267" s="843"/>
      <c r="V267" s="843"/>
      <c r="W267" s="843"/>
      <c r="X267" s="843"/>
      <c r="Y267" s="628"/>
      <c r="Z267" s="606"/>
      <c r="AA267" s="606"/>
      <c r="AB267" s="606"/>
      <c r="AC267" s="606"/>
      <c r="AD267" s="606"/>
      <c r="AE267" s="606"/>
      <c r="AF267" s="606"/>
      <c r="AG267" s="606"/>
      <c r="AH267" s="125"/>
      <c r="AI267" s="125"/>
      <c r="AJ267" s="125"/>
      <c r="AK267" s="125"/>
      <c r="AL267" s="125"/>
      <c r="AM267" s="125"/>
      <c r="AN267" s="125"/>
      <c r="AO267" s="125"/>
      <c r="AP267" s="125"/>
      <c r="AQ267" s="125"/>
      <c r="AR267" s="125"/>
      <c r="AS267" s="125"/>
      <c r="AT267" s="125"/>
      <c r="AU267" s="125"/>
      <c r="AV267" s="125"/>
      <c r="AW267" s="125"/>
      <c r="AX267" s="125"/>
      <c r="AY267" s="125"/>
      <c r="AZ267" s="125"/>
      <c r="BA267" s="125"/>
    </row>
    <row r="268" spans="1:53">
      <c r="A268" s="868"/>
      <c r="B268" s="843"/>
      <c r="C268" s="843"/>
      <c r="D268" s="843"/>
      <c r="E268" s="843"/>
      <c r="F268" s="843"/>
      <c r="G268" s="843"/>
      <c r="H268" s="843"/>
      <c r="I268" s="843"/>
      <c r="J268" s="843"/>
      <c r="K268" s="843"/>
      <c r="L268" s="843"/>
      <c r="M268" s="843"/>
      <c r="N268" s="843"/>
      <c r="O268" s="843"/>
      <c r="P268" s="843"/>
      <c r="Q268" s="843"/>
      <c r="R268" s="843"/>
      <c r="S268" s="843"/>
      <c r="T268" s="843"/>
      <c r="U268" s="843"/>
      <c r="V268" s="843"/>
      <c r="W268" s="843"/>
      <c r="X268" s="843"/>
      <c r="Y268" s="628"/>
      <c r="Z268" s="606"/>
      <c r="AA268" s="606"/>
      <c r="AB268" s="606"/>
      <c r="AC268" s="606"/>
      <c r="AD268" s="606"/>
      <c r="AE268" s="606"/>
      <c r="AF268" s="606"/>
      <c r="AG268" s="606"/>
      <c r="AH268" s="125"/>
      <c r="AI268" s="125"/>
      <c r="AJ268" s="125"/>
      <c r="AK268" s="125"/>
      <c r="AL268" s="125"/>
      <c r="AM268" s="125"/>
      <c r="AN268" s="125"/>
      <c r="AO268" s="125"/>
      <c r="AP268" s="125"/>
      <c r="AQ268" s="125"/>
      <c r="AR268" s="125"/>
      <c r="AS268" s="125"/>
      <c r="AT268" s="125"/>
      <c r="AU268" s="125"/>
      <c r="AV268" s="125"/>
      <c r="AW268" s="125"/>
      <c r="AX268" s="125"/>
      <c r="AY268" s="125"/>
      <c r="AZ268" s="125"/>
      <c r="BA268" s="125"/>
    </row>
    <row r="269" spans="1:53">
      <c r="A269" s="868"/>
      <c r="B269" s="843"/>
      <c r="C269" s="843"/>
      <c r="D269" s="843"/>
      <c r="E269" s="843"/>
      <c r="F269" s="843"/>
      <c r="G269" s="843"/>
      <c r="H269" s="843"/>
      <c r="I269" s="843"/>
      <c r="J269" s="843"/>
      <c r="K269" s="843"/>
      <c r="L269" s="843"/>
      <c r="M269" s="843"/>
      <c r="N269" s="843"/>
      <c r="O269" s="843"/>
      <c r="P269" s="843"/>
      <c r="Q269" s="843"/>
      <c r="R269" s="843"/>
      <c r="S269" s="843"/>
      <c r="T269" s="843"/>
      <c r="U269" s="843"/>
      <c r="V269" s="843"/>
      <c r="W269" s="843"/>
      <c r="X269" s="843"/>
      <c r="Y269" s="628"/>
      <c r="Z269" s="606"/>
      <c r="AA269" s="606"/>
      <c r="AB269" s="606"/>
      <c r="AC269" s="606"/>
      <c r="AD269" s="606"/>
      <c r="AE269" s="606"/>
      <c r="AF269" s="606"/>
      <c r="AG269" s="606"/>
      <c r="AH269" s="125"/>
      <c r="AI269" s="125"/>
      <c r="AJ269" s="125"/>
      <c r="AK269" s="125"/>
      <c r="AL269" s="125"/>
      <c r="AM269" s="125"/>
      <c r="AN269" s="125"/>
      <c r="AO269" s="125"/>
      <c r="AP269" s="125"/>
      <c r="AQ269" s="125"/>
      <c r="AR269" s="125"/>
      <c r="AS269" s="125"/>
      <c r="AT269" s="125"/>
      <c r="AU269" s="125"/>
      <c r="AV269" s="125"/>
      <c r="AW269" s="125"/>
      <c r="AX269" s="125"/>
      <c r="AY269" s="125"/>
      <c r="AZ269" s="125"/>
      <c r="BA269" s="125"/>
    </row>
    <row r="270" spans="1:53">
      <c r="A270" s="868"/>
      <c r="B270" s="843"/>
      <c r="C270" s="843"/>
      <c r="D270" s="843"/>
      <c r="E270" s="843"/>
      <c r="F270" s="843"/>
      <c r="G270" s="843"/>
      <c r="H270" s="843"/>
      <c r="I270" s="843"/>
      <c r="J270" s="843"/>
      <c r="K270" s="843"/>
      <c r="L270" s="843"/>
      <c r="M270" s="843"/>
      <c r="N270" s="843"/>
      <c r="O270" s="843"/>
      <c r="P270" s="843"/>
      <c r="Q270" s="843"/>
      <c r="R270" s="843"/>
      <c r="S270" s="843"/>
      <c r="T270" s="843"/>
      <c r="U270" s="843"/>
      <c r="V270" s="843"/>
      <c r="W270" s="843"/>
      <c r="X270" s="843"/>
      <c r="Y270" s="628"/>
      <c r="Z270" s="606"/>
      <c r="AA270" s="606"/>
      <c r="AB270" s="606"/>
      <c r="AC270" s="606"/>
      <c r="AD270" s="606"/>
      <c r="AE270" s="606"/>
      <c r="AF270" s="606"/>
      <c r="AG270" s="606"/>
      <c r="AH270" s="125"/>
      <c r="AI270" s="125"/>
      <c r="AJ270" s="125"/>
      <c r="AK270" s="125"/>
      <c r="AL270" s="125"/>
      <c r="AM270" s="125"/>
      <c r="AN270" s="125"/>
      <c r="AO270" s="125"/>
      <c r="AP270" s="125"/>
      <c r="AQ270" s="125"/>
      <c r="AR270" s="125"/>
      <c r="AS270" s="125"/>
      <c r="AT270" s="125"/>
      <c r="AU270" s="125"/>
      <c r="AV270" s="125"/>
      <c r="AW270" s="125"/>
      <c r="AX270" s="125"/>
      <c r="AY270" s="125"/>
      <c r="AZ270" s="125"/>
      <c r="BA270" s="125"/>
    </row>
    <row r="271" spans="1:53">
      <c r="A271" s="868"/>
      <c r="B271" s="843"/>
      <c r="C271" s="843"/>
      <c r="D271" s="843"/>
      <c r="E271" s="843"/>
      <c r="F271" s="843"/>
      <c r="G271" s="843"/>
      <c r="H271" s="843"/>
      <c r="I271" s="843"/>
      <c r="J271" s="843"/>
      <c r="K271" s="843"/>
      <c r="L271" s="843"/>
      <c r="M271" s="843"/>
      <c r="N271" s="843"/>
      <c r="O271" s="843"/>
      <c r="P271" s="843"/>
      <c r="Q271" s="843"/>
      <c r="R271" s="843"/>
      <c r="S271" s="843"/>
      <c r="T271" s="843"/>
      <c r="U271" s="843"/>
      <c r="V271" s="843"/>
      <c r="W271" s="843"/>
      <c r="X271" s="843"/>
      <c r="Y271" s="628"/>
      <c r="Z271" s="606"/>
      <c r="AA271" s="606"/>
      <c r="AB271" s="606"/>
      <c r="AC271" s="606"/>
      <c r="AD271" s="606"/>
      <c r="AE271" s="606"/>
      <c r="AF271" s="606"/>
      <c r="AG271" s="606"/>
      <c r="AH271" s="125"/>
      <c r="AI271" s="125"/>
      <c r="AJ271" s="125"/>
      <c r="AK271" s="125"/>
      <c r="AL271" s="125"/>
      <c r="AM271" s="125"/>
      <c r="AN271" s="125"/>
      <c r="AO271" s="125"/>
      <c r="AP271" s="125"/>
      <c r="AQ271" s="125"/>
      <c r="AR271" s="125"/>
      <c r="AS271" s="125"/>
      <c r="AT271" s="125"/>
      <c r="AU271" s="125"/>
      <c r="AV271" s="125"/>
      <c r="AW271" s="125"/>
      <c r="AX271" s="125"/>
      <c r="AY271" s="125"/>
      <c r="AZ271" s="125"/>
      <c r="BA271" s="125"/>
    </row>
    <row r="272" spans="1:53">
      <c r="A272" s="868"/>
      <c r="B272" s="843"/>
      <c r="C272" s="843"/>
      <c r="D272" s="843"/>
      <c r="E272" s="843"/>
      <c r="F272" s="843"/>
      <c r="G272" s="843"/>
      <c r="H272" s="843"/>
      <c r="I272" s="843"/>
      <c r="J272" s="843"/>
      <c r="K272" s="843"/>
      <c r="L272" s="843"/>
      <c r="M272" s="843"/>
      <c r="N272" s="843"/>
      <c r="O272" s="843"/>
      <c r="P272" s="843"/>
      <c r="Q272" s="843"/>
      <c r="R272" s="843"/>
      <c r="S272" s="843"/>
      <c r="T272" s="843"/>
      <c r="U272" s="843"/>
      <c r="V272" s="843"/>
      <c r="W272" s="843"/>
      <c r="X272" s="843"/>
      <c r="Y272" s="628"/>
      <c r="Z272" s="606"/>
      <c r="AA272" s="606"/>
      <c r="AB272" s="606"/>
      <c r="AC272" s="606"/>
      <c r="AD272" s="606"/>
      <c r="AE272" s="606"/>
      <c r="AF272" s="606"/>
      <c r="AG272" s="606"/>
      <c r="AH272" s="125"/>
      <c r="AI272" s="125"/>
      <c r="AJ272" s="125"/>
      <c r="AK272" s="125"/>
      <c r="AL272" s="125"/>
      <c r="AM272" s="125"/>
      <c r="AN272" s="125"/>
      <c r="AO272" s="125"/>
      <c r="AP272" s="125"/>
      <c r="AQ272" s="125"/>
      <c r="AR272" s="125"/>
      <c r="AS272" s="125"/>
      <c r="AT272" s="125"/>
      <c r="AU272" s="125"/>
      <c r="AV272" s="125"/>
      <c r="AW272" s="125"/>
      <c r="AX272" s="125"/>
      <c r="AY272" s="125"/>
      <c r="AZ272" s="125"/>
      <c r="BA272" s="125"/>
    </row>
    <row r="273" spans="1:53">
      <c r="A273" s="868"/>
      <c r="B273" s="843"/>
      <c r="C273" s="843"/>
      <c r="D273" s="843"/>
      <c r="E273" s="843"/>
      <c r="F273" s="843"/>
      <c r="G273" s="843"/>
      <c r="H273" s="843"/>
      <c r="I273" s="843"/>
      <c r="J273" s="843"/>
      <c r="K273" s="843"/>
      <c r="L273" s="843"/>
      <c r="M273" s="843"/>
      <c r="N273" s="843"/>
      <c r="O273" s="843"/>
      <c r="P273" s="843"/>
      <c r="Q273" s="843"/>
      <c r="R273" s="843"/>
      <c r="S273" s="843"/>
      <c r="T273" s="843"/>
      <c r="U273" s="843"/>
      <c r="V273" s="843"/>
      <c r="W273" s="843"/>
      <c r="X273" s="843"/>
      <c r="Y273" s="628"/>
      <c r="Z273" s="606"/>
      <c r="AA273" s="606"/>
      <c r="AB273" s="606"/>
      <c r="AC273" s="606"/>
      <c r="AD273" s="606"/>
      <c r="AE273" s="606"/>
      <c r="AF273" s="606"/>
      <c r="AG273" s="606"/>
      <c r="AH273" s="125"/>
      <c r="AI273" s="125"/>
      <c r="AJ273" s="125"/>
      <c r="AK273" s="125"/>
      <c r="AL273" s="125"/>
      <c r="AM273" s="125"/>
      <c r="AN273" s="125"/>
      <c r="AO273" s="125"/>
      <c r="AP273" s="125"/>
      <c r="AQ273" s="125"/>
      <c r="AR273" s="125"/>
      <c r="AS273" s="125"/>
      <c r="AT273" s="125"/>
      <c r="AU273" s="125"/>
      <c r="AV273" s="125"/>
      <c r="AW273" s="125"/>
      <c r="AX273" s="125"/>
      <c r="AY273" s="125"/>
      <c r="AZ273" s="125"/>
      <c r="BA273" s="125"/>
    </row>
    <row r="274" spans="1:53">
      <c r="A274" s="868"/>
      <c r="B274" s="843"/>
      <c r="C274" s="843"/>
      <c r="D274" s="843"/>
      <c r="E274" s="843"/>
      <c r="F274" s="843"/>
      <c r="G274" s="843"/>
      <c r="H274" s="843"/>
      <c r="I274" s="843"/>
      <c r="J274" s="843"/>
      <c r="K274" s="843"/>
      <c r="L274" s="843"/>
      <c r="M274" s="843"/>
      <c r="N274" s="843"/>
      <c r="O274" s="843"/>
      <c r="P274" s="843"/>
      <c r="Q274" s="843"/>
      <c r="R274" s="843"/>
      <c r="S274" s="843"/>
      <c r="T274" s="843"/>
      <c r="U274" s="843"/>
      <c r="V274" s="843"/>
      <c r="W274" s="843"/>
      <c r="X274" s="843"/>
      <c r="Y274" s="628"/>
      <c r="Z274" s="606"/>
      <c r="AA274" s="606"/>
      <c r="AB274" s="606"/>
      <c r="AC274" s="606"/>
      <c r="AD274" s="606"/>
      <c r="AE274" s="606"/>
      <c r="AF274" s="606"/>
      <c r="AG274" s="606"/>
      <c r="AH274" s="125"/>
      <c r="AI274" s="125"/>
      <c r="AJ274" s="125"/>
      <c r="AK274" s="125"/>
      <c r="AL274" s="125"/>
      <c r="AM274" s="125"/>
      <c r="AN274" s="125"/>
      <c r="AO274" s="125"/>
      <c r="AP274" s="125"/>
      <c r="AQ274" s="125"/>
      <c r="AR274" s="125"/>
      <c r="AS274" s="125"/>
      <c r="AT274" s="125"/>
      <c r="AU274" s="125"/>
      <c r="AV274" s="125"/>
      <c r="AW274" s="125"/>
      <c r="AX274" s="125"/>
      <c r="AY274" s="125"/>
      <c r="AZ274" s="125"/>
      <c r="BA274" s="125"/>
    </row>
    <row r="275" spans="1:53">
      <c r="A275" s="868"/>
      <c r="B275" s="843"/>
      <c r="C275" s="843"/>
      <c r="D275" s="843"/>
      <c r="E275" s="843"/>
      <c r="F275" s="843"/>
      <c r="G275" s="843"/>
      <c r="H275" s="843"/>
      <c r="I275" s="843"/>
      <c r="J275" s="843"/>
      <c r="K275" s="843"/>
      <c r="L275" s="843"/>
      <c r="M275" s="843"/>
      <c r="N275" s="843"/>
      <c r="O275" s="843"/>
      <c r="P275" s="843"/>
      <c r="Q275" s="843"/>
      <c r="R275" s="843"/>
      <c r="S275" s="843"/>
      <c r="T275" s="843"/>
      <c r="U275" s="47"/>
      <c r="V275" s="47"/>
      <c r="W275" s="47"/>
      <c r="X275" s="47"/>
      <c r="Y275" s="628"/>
      <c r="Z275" s="606"/>
      <c r="AA275" s="606"/>
      <c r="AB275" s="606"/>
      <c r="AC275" s="606"/>
      <c r="AD275" s="606"/>
      <c r="AE275" s="606"/>
      <c r="AF275" s="606"/>
      <c r="AG275" s="606"/>
      <c r="AH275" s="125"/>
      <c r="AI275" s="125"/>
      <c r="AJ275" s="125"/>
      <c r="AK275" s="125"/>
      <c r="AL275" s="125"/>
      <c r="AM275" s="125"/>
      <c r="AN275" s="125"/>
      <c r="AO275" s="125"/>
      <c r="AP275" s="125"/>
      <c r="AQ275" s="125"/>
      <c r="AR275" s="125"/>
      <c r="AS275" s="125"/>
      <c r="AT275" s="125"/>
      <c r="AU275" s="125"/>
      <c r="AV275" s="125"/>
      <c r="AW275" s="125"/>
      <c r="AX275" s="125"/>
      <c r="AY275" s="125"/>
      <c r="AZ275" s="125"/>
      <c r="BA275" s="125"/>
    </row>
    <row r="276" spans="1:53">
      <c r="A276" s="868"/>
      <c r="B276" s="843"/>
      <c r="C276" s="843"/>
      <c r="D276" s="843"/>
      <c r="E276" s="843"/>
      <c r="F276" s="843"/>
      <c r="G276" s="843"/>
      <c r="H276" s="843"/>
      <c r="I276" s="843"/>
      <c r="J276" s="843"/>
      <c r="K276" s="843"/>
      <c r="L276" s="843"/>
      <c r="M276" s="843"/>
      <c r="N276" s="843"/>
      <c r="O276" s="843"/>
      <c r="P276" s="843"/>
      <c r="Q276" s="843"/>
      <c r="R276" s="843"/>
      <c r="S276" s="843"/>
      <c r="T276" s="843"/>
      <c r="U276" s="47"/>
      <c r="V276" s="47"/>
      <c r="W276" s="47"/>
      <c r="X276" s="1454" t="s">
        <v>647</v>
      </c>
      <c r="Y276" s="628"/>
      <c r="Z276" s="606"/>
      <c r="AA276" s="606"/>
      <c r="AB276" s="606"/>
      <c r="AC276" s="606"/>
      <c r="AD276" s="606"/>
      <c r="AE276" s="606"/>
      <c r="AF276" s="606"/>
      <c r="AG276" s="606"/>
      <c r="AH276" s="125"/>
      <c r="AI276" s="125"/>
      <c r="AJ276" s="125"/>
      <c r="AK276" s="125"/>
      <c r="AL276" s="125"/>
      <c r="AM276" s="125"/>
      <c r="AN276" s="125"/>
      <c r="AO276" s="125"/>
      <c r="AP276" s="125"/>
      <c r="AQ276" s="125"/>
      <c r="AR276" s="125"/>
      <c r="AS276" s="125"/>
      <c r="AT276" s="125"/>
      <c r="AU276" s="125"/>
      <c r="AV276" s="125"/>
      <c r="AW276" s="125"/>
      <c r="AX276" s="125"/>
      <c r="AY276" s="125"/>
      <c r="AZ276" s="125"/>
      <c r="BA276" s="125"/>
    </row>
    <row r="277" spans="1:53">
      <c r="A277" s="868"/>
      <c r="B277" s="843"/>
      <c r="C277" s="843"/>
      <c r="D277" s="843"/>
      <c r="E277" s="843"/>
      <c r="F277" s="843"/>
      <c r="G277" s="843"/>
      <c r="H277" s="843"/>
      <c r="I277" s="843"/>
      <c r="J277" s="843"/>
      <c r="K277" s="843"/>
      <c r="L277" s="843"/>
      <c r="M277" s="843"/>
      <c r="N277" s="843"/>
      <c r="O277" s="843"/>
      <c r="P277" s="843"/>
      <c r="Q277" s="843"/>
      <c r="R277" s="843"/>
      <c r="S277" s="843"/>
      <c r="T277" s="843"/>
      <c r="U277" s="47"/>
      <c r="V277" s="47"/>
      <c r="W277" s="47"/>
      <c r="X277" s="1455"/>
      <c r="Y277" s="628"/>
      <c r="Z277" s="606"/>
      <c r="AA277" s="606"/>
      <c r="AB277" s="606"/>
      <c r="AC277" s="606"/>
      <c r="AD277" s="606"/>
      <c r="AE277" s="606"/>
      <c r="AF277" s="606"/>
      <c r="AG277" s="606"/>
      <c r="AH277" s="125"/>
      <c r="AI277" s="125"/>
      <c r="AJ277" s="125"/>
      <c r="AK277" s="125"/>
      <c r="AL277" s="125"/>
      <c r="AM277" s="125"/>
      <c r="AN277" s="125"/>
      <c r="AO277" s="125"/>
      <c r="AP277" s="125"/>
      <c r="AQ277" s="125"/>
      <c r="AR277" s="125"/>
      <c r="AS277" s="125"/>
      <c r="AT277" s="125"/>
      <c r="AU277" s="125"/>
      <c r="AV277" s="125"/>
      <c r="AW277" s="125"/>
      <c r="AX277" s="125"/>
      <c r="AY277" s="125"/>
      <c r="AZ277" s="125"/>
      <c r="BA277" s="125"/>
    </row>
    <row r="278" spans="1:53">
      <c r="A278" s="868"/>
      <c r="B278" s="843"/>
      <c r="C278" s="843"/>
      <c r="D278" s="843"/>
      <c r="E278" s="843"/>
      <c r="F278" s="843"/>
      <c r="G278" s="843"/>
      <c r="H278" s="843"/>
      <c r="I278" s="843"/>
      <c r="J278" s="843"/>
      <c r="K278" s="843"/>
      <c r="L278" s="843"/>
      <c r="M278" s="843"/>
      <c r="N278" s="843"/>
      <c r="O278" s="843"/>
      <c r="P278" s="843"/>
      <c r="Q278" s="843"/>
      <c r="R278" s="843"/>
      <c r="S278" s="843"/>
      <c r="T278" s="843"/>
      <c r="U278" s="47"/>
      <c r="V278" s="47"/>
      <c r="W278" s="47"/>
      <c r="X278" s="1455"/>
      <c r="Y278" s="628"/>
      <c r="Z278" s="606"/>
      <c r="AA278" s="606"/>
      <c r="AB278" s="606"/>
      <c r="AC278" s="606"/>
      <c r="AD278" s="606"/>
      <c r="AE278" s="606"/>
      <c r="AF278" s="606"/>
      <c r="AG278" s="606"/>
      <c r="AH278" s="125"/>
      <c r="AI278" s="125"/>
      <c r="AJ278" s="125"/>
      <c r="AK278" s="125"/>
      <c r="AL278" s="125"/>
      <c r="AM278" s="125"/>
      <c r="AN278" s="125"/>
      <c r="AO278" s="125"/>
      <c r="AP278" s="125"/>
      <c r="AQ278" s="125"/>
      <c r="AR278" s="125"/>
      <c r="AS278" s="125"/>
      <c r="AT278" s="125"/>
      <c r="AU278" s="125"/>
      <c r="AV278" s="125"/>
      <c r="AW278" s="125"/>
      <c r="AX278" s="125"/>
      <c r="AY278" s="125"/>
      <c r="AZ278" s="125"/>
      <c r="BA278" s="125"/>
    </row>
    <row r="279" spans="1:53">
      <c r="A279" s="868"/>
      <c r="B279" s="843"/>
      <c r="C279" s="843"/>
      <c r="D279" s="843"/>
      <c r="E279" s="843"/>
      <c r="F279" s="843"/>
      <c r="G279" s="843"/>
      <c r="H279" s="843"/>
      <c r="I279" s="843"/>
      <c r="J279" s="843"/>
      <c r="K279" s="843"/>
      <c r="L279" s="843"/>
      <c r="M279" s="843"/>
      <c r="N279" s="843"/>
      <c r="O279" s="843"/>
      <c r="P279" s="843"/>
      <c r="Q279" s="843"/>
      <c r="R279" s="843"/>
      <c r="S279" s="843"/>
      <c r="T279" s="843"/>
      <c r="U279" s="47"/>
      <c r="V279" s="47"/>
      <c r="W279" s="47"/>
      <c r="X279" s="1455"/>
      <c r="Y279" s="628"/>
      <c r="Z279" s="606"/>
      <c r="AA279" s="606"/>
      <c r="AB279" s="606"/>
      <c r="AC279" s="606"/>
      <c r="AD279" s="606"/>
      <c r="AE279" s="606"/>
      <c r="AF279" s="606"/>
      <c r="AG279" s="606"/>
      <c r="AH279" s="125"/>
      <c r="AI279" s="125"/>
      <c r="AJ279" s="125"/>
      <c r="AK279" s="125"/>
      <c r="AL279" s="125"/>
      <c r="AM279" s="125"/>
      <c r="AN279" s="125"/>
      <c r="AO279" s="125"/>
      <c r="AP279" s="125"/>
      <c r="AQ279" s="125"/>
      <c r="AR279" s="125"/>
      <c r="AS279" s="125"/>
      <c r="AT279" s="125"/>
      <c r="AU279" s="125"/>
      <c r="AV279" s="125"/>
      <c r="AW279" s="125"/>
      <c r="AX279" s="125"/>
      <c r="AY279" s="125"/>
      <c r="AZ279" s="125"/>
      <c r="BA279" s="125"/>
    </row>
    <row r="280" spans="1:53">
      <c r="A280" s="868"/>
      <c r="B280" s="843"/>
      <c r="C280" s="843"/>
      <c r="D280" s="843"/>
      <c r="E280" s="843"/>
      <c r="F280" s="843"/>
      <c r="G280" s="843"/>
      <c r="H280" s="843"/>
      <c r="I280" s="843"/>
      <c r="J280" s="843"/>
      <c r="K280" s="843"/>
      <c r="L280" s="843"/>
      <c r="M280" s="843"/>
      <c r="N280" s="843"/>
      <c r="O280" s="843"/>
      <c r="P280" s="843"/>
      <c r="Q280" s="843"/>
      <c r="R280" s="843"/>
      <c r="S280" s="843"/>
      <c r="T280" s="843"/>
      <c r="U280" s="47"/>
      <c r="V280" s="47"/>
      <c r="W280" s="47"/>
      <c r="X280" s="1455"/>
      <c r="Y280" s="628"/>
      <c r="Z280" s="606"/>
      <c r="AA280" s="606"/>
      <c r="AB280" s="606"/>
      <c r="AC280" s="606"/>
      <c r="AD280" s="606"/>
      <c r="AE280" s="606"/>
      <c r="AF280" s="606"/>
      <c r="AG280" s="606"/>
      <c r="AH280" s="125"/>
      <c r="AI280" s="125"/>
      <c r="AJ280" s="125"/>
      <c r="AK280" s="125"/>
      <c r="AL280" s="125"/>
      <c r="AM280" s="125"/>
      <c r="AN280" s="125"/>
      <c r="AO280" s="125"/>
      <c r="AP280" s="125"/>
      <c r="AQ280" s="125"/>
      <c r="AR280" s="125"/>
      <c r="AS280" s="125"/>
      <c r="AT280" s="125"/>
      <c r="AU280" s="125"/>
      <c r="AV280" s="125"/>
      <c r="AW280" s="125"/>
      <c r="AX280" s="125"/>
      <c r="AY280" s="125"/>
      <c r="AZ280" s="125"/>
      <c r="BA280" s="125"/>
    </row>
    <row r="281" spans="1:53">
      <c r="A281" s="868"/>
      <c r="B281" s="843"/>
      <c r="C281" s="843"/>
      <c r="D281" s="843"/>
      <c r="E281" s="843"/>
      <c r="F281" s="843"/>
      <c r="G281" s="843"/>
      <c r="H281" s="843"/>
      <c r="I281" s="843"/>
      <c r="J281" s="843"/>
      <c r="K281" s="843"/>
      <c r="L281" s="843"/>
      <c r="M281" s="843"/>
      <c r="N281" s="843"/>
      <c r="O281" s="843"/>
      <c r="P281" s="843"/>
      <c r="Q281" s="843"/>
      <c r="R281" s="843"/>
      <c r="S281" s="843"/>
      <c r="T281" s="843"/>
      <c r="U281" s="47"/>
      <c r="V281" s="47"/>
      <c r="W281" s="47"/>
      <c r="X281" s="1455"/>
      <c r="Y281" s="628"/>
      <c r="Z281" s="606"/>
      <c r="AA281" s="606"/>
      <c r="AB281" s="606"/>
      <c r="AC281" s="606"/>
      <c r="AD281" s="606"/>
      <c r="AE281" s="606"/>
      <c r="AF281" s="606"/>
      <c r="AG281" s="606"/>
      <c r="AH281" s="125"/>
      <c r="AI281" s="125"/>
      <c r="AJ281" s="125"/>
      <c r="AK281" s="125"/>
      <c r="AL281" s="125"/>
      <c r="AM281" s="125"/>
      <c r="AN281" s="125"/>
      <c r="AO281" s="125"/>
      <c r="AP281" s="125"/>
      <c r="AQ281" s="125"/>
      <c r="AR281" s="125"/>
      <c r="AS281" s="125"/>
      <c r="AT281" s="125"/>
      <c r="AU281" s="125"/>
      <c r="AV281" s="125"/>
      <c r="AW281" s="125"/>
      <c r="AX281" s="125"/>
      <c r="AY281" s="125"/>
      <c r="AZ281" s="125"/>
      <c r="BA281" s="125"/>
    </row>
    <row r="282" spans="1:53">
      <c r="A282" s="868"/>
      <c r="B282" s="843"/>
      <c r="C282" s="843"/>
      <c r="D282" s="843"/>
      <c r="E282" s="843"/>
      <c r="F282" s="843"/>
      <c r="G282" s="843"/>
      <c r="H282" s="843"/>
      <c r="I282" s="843"/>
      <c r="J282" s="843"/>
      <c r="K282" s="843"/>
      <c r="L282" s="843"/>
      <c r="M282" s="843"/>
      <c r="N282" s="843"/>
      <c r="O282" s="843"/>
      <c r="P282" s="843"/>
      <c r="Q282" s="843"/>
      <c r="R282" s="843"/>
      <c r="S282" s="843"/>
      <c r="T282" s="843"/>
      <c r="U282" s="47"/>
      <c r="V282" s="47"/>
      <c r="W282" s="47"/>
      <c r="X282" s="1455"/>
      <c r="Y282" s="628"/>
      <c r="Z282" s="606"/>
      <c r="AA282" s="606"/>
      <c r="AB282" s="606"/>
      <c r="AC282" s="606"/>
      <c r="AD282" s="606"/>
      <c r="AE282" s="606"/>
      <c r="AF282" s="606"/>
      <c r="AG282" s="606"/>
      <c r="AH282" s="125"/>
      <c r="AI282" s="125"/>
      <c r="AJ282" s="125"/>
      <c r="AK282" s="125"/>
      <c r="AL282" s="125"/>
      <c r="AM282" s="125"/>
      <c r="AN282" s="125"/>
      <c r="AO282" s="125"/>
      <c r="AP282" s="125"/>
      <c r="AQ282" s="125"/>
      <c r="AR282" s="125"/>
      <c r="AS282" s="125"/>
      <c r="AT282" s="125"/>
      <c r="AU282" s="125"/>
      <c r="AV282" s="125"/>
      <c r="AW282" s="125"/>
      <c r="AX282" s="125"/>
      <c r="AY282" s="125"/>
      <c r="AZ282" s="125"/>
      <c r="BA282" s="125"/>
    </row>
    <row r="283" spans="1:53">
      <c r="A283" s="868"/>
      <c r="B283" s="843"/>
      <c r="C283" s="843"/>
      <c r="D283" s="843"/>
      <c r="E283" s="843"/>
      <c r="F283" s="843"/>
      <c r="G283" s="843"/>
      <c r="H283" s="843"/>
      <c r="I283" s="843"/>
      <c r="J283" s="843"/>
      <c r="K283" s="843"/>
      <c r="L283" s="843"/>
      <c r="M283" s="843"/>
      <c r="N283" s="843"/>
      <c r="O283" s="843"/>
      <c r="P283" s="843"/>
      <c r="Q283" s="843"/>
      <c r="R283" s="843"/>
      <c r="S283" s="843"/>
      <c r="T283" s="843"/>
      <c r="U283" s="47"/>
      <c r="V283" s="47"/>
      <c r="W283" s="47"/>
      <c r="X283" s="1455"/>
      <c r="Y283" s="628"/>
      <c r="Z283" s="606"/>
      <c r="AA283" s="606"/>
      <c r="AB283" s="606"/>
      <c r="AC283" s="606"/>
      <c r="AD283" s="606"/>
      <c r="AE283" s="606"/>
      <c r="AF283" s="606"/>
      <c r="AG283" s="606"/>
      <c r="AH283" s="125"/>
      <c r="AI283" s="125"/>
      <c r="AJ283" s="125"/>
      <c r="AK283" s="125"/>
      <c r="AL283" s="125"/>
      <c r="AM283" s="125"/>
      <c r="AN283" s="125"/>
      <c r="AO283" s="125"/>
      <c r="AP283" s="125"/>
      <c r="AQ283" s="125"/>
      <c r="AR283" s="125"/>
      <c r="AS283" s="125"/>
      <c r="AT283" s="125"/>
      <c r="AU283" s="125"/>
      <c r="AV283" s="125"/>
      <c r="AW283" s="125"/>
      <c r="AX283" s="125"/>
      <c r="AY283" s="125"/>
      <c r="AZ283" s="125"/>
      <c r="BA283" s="125"/>
    </row>
    <row r="284" spans="1:53">
      <c r="A284" s="868"/>
      <c r="B284" s="843"/>
      <c r="C284" s="843"/>
      <c r="D284" s="843"/>
      <c r="E284" s="843"/>
      <c r="F284" s="843"/>
      <c r="G284" s="843"/>
      <c r="H284" s="843"/>
      <c r="I284" s="843"/>
      <c r="J284" s="843"/>
      <c r="K284" s="843"/>
      <c r="L284" s="843"/>
      <c r="M284" s="843"/>
      <c r="N284" s="843"/>
      <c r="O284" s="843"/>
      <c r="P284" s="843"/>
      <c r="Q284" s="843"/>
      <c r="R284" s="843"/>
      <c r="S284" s="843"/>
      <c r="T284" s="843"/>
      <c r="U284" s="47"/>
      <c r="V284" s="47"/>
      <c r="W284" s="47"/>
      <c r="X284" s="1447" t="s">
        <v>648</v>
      </c>
      <c r="Y284" s="628"/>
      <c r="Z284" s="606"/>
      <c r="AA284" s="606"/>
      <c r="AB284" s="606"/>
      <c r="AC284" s="606"/>
      <c r="AD284" s="606"/>
      <c r="AE284" s="606"/>
      <c r="AF284" s="606"/>
      <c r="AG284" s="606"/>
      <c r="AH284" s="125"/>
      <c r="AI284" s="125"/>
      <c r="AJ284" s="125"/>
      <c r="AK284" s="125"/>
      <c r="AL284" s="125"/>
      <c r="AM284" s="125"/>
      <c r="AN284" s="125"/>
      <c r="AO284" s="125"/>
      <c r="AP284" s="125"/>
      <c r="AQ284" s="125"/>
      <c r="AR284" s="125"/>
      <c r="AS284" s="125"/>
      <c r="AT284" s="125"/>
      <c r="AU284" s="125"/>
      <c r="AV284" s="125"/>
      <c r="AW284" s="125"/>
      <c r="AX284" s="125"/>
      <c r="AY284" s="125"/>
      <c r="AZ284" s="125"/>
      <c r="BA284" s="125"/>
    </row>
    <row r="285" spans="1:53">
      <c r="A285" s="868"/>
      <c r="B285" s="843"/>
      <c r="C285" s="843"/>
      <c r="D285" s="843"/>
      <c r="E285" s="843"/>
      <c r="F285" s="843"/>
      <c r="G285" s="843"/>
      <c r="H285" s="843"/>
      <c r="I285" s="843"/>
      <c r="J285" s="843"/>
      <c r="K285" s="843"/>
      <c r="L285" s="843"/>
      <c r="M285" s="843"/>
      <c r="N285" s="843"/>
      <c r="O285" s="843"/>
      <c r="P285" s="843"/>
      <c r="Q285" s="843"/>
      <c r="R285" s="843"/>
      <c r="S285" s="843"/>
      <c r="T285" s="843"/>
      <c r="U285" s="47"/>
      <c r="V285" s="47"/>
      <c r="W285" s="47"/>
      <c r="X285" s="1447"/>
      <c r="Y285" s="628"/>
      <c r="Z285" s="606"/>
      <c r="AA285" s="606"/>
      <c r="AB285" s="606"/>
      <c r="AC285" s="606"/>
      <c r="AD285" s="606"/>
      <c r="AE285" s="606"/>
      <c r="AF285" s="606"/>
      <c r="AG285" s="606"/>
      <c r="AH285" s="125"/>
      <c r="AI285" s="125"/>
      <c r="AJ285" s="125"/>
      <c r="AK285" s="125"/>
      <c r="AL285" s="125"/>
      <c r="AM285" s="125"/>
      <c r="AN285" s="125"/>
      <c r="AO285" s="125"/>
      <c r="AP285" s="125"/>
      <c r="AQ285" s="125"/>
      <c r="AR285" s="125"/>
      <c r="AS285" s="125"/>
      <c r="AT285" s="125"/>
      <c r="AU285" s="125"/>
      <c r="AV285" s="125"/>
      <c r="AW285" s="125"/>
      <c r="AX285" s="125"/>
      <c r="AY285" s="125"/>
      <c r="AZ285" s="125"/>
      <c r="BA285" s="125"/>
    </row>
    <row r="286" spans="1:53">
      <c r="A286" s="868"/>
      <c r="B286" s="843"/>
      <c r="C286" s="843"/>
      <c r="D286" s="843"/>
      <c r="E286" s="843"/>
      <c r="F286" s="843"/>
      <c r="G286" s="843"/>
      <c r="H286" s="843"/>
      <c r="I286" s="843"/>
      <c r="J286" s="843"/>
      <c r="K286" s="843"/>
      <c r="L286" s="843"/>
      <c r="M286" s="843"/>
      <c r="N286" s="843"/>
      <c r="O286" s="843"/>
      <c r="P286" s="843"/>
      <c r="Q286" s="843"/>
      <c r="R286" s="843"/>
      <c r="S286" s="843"/>
      <c r="T286" s="843"/>
      <c r="U286" s="47"/>
      <c r="V286" s="47"/>
      <c r="W286" s="47"/>
      <c r="X286" s="1447"/>
      <c r="Y286" s="628"/>
      <c r="Z286" s="606"/>
      <c r="AA286" s="606"/>
      <c r="AB286" s="606"/>
      <c r="AC286" s="606"/>
      <c r="AD286" s="606"/>
      <c r="AE286" s="606"/>
      <c r="AF286" s="606"/>
      <c r="AG286" s="606"/>
      <c r="AH286" s="125"/>
      <c r="AI286" s="125"/>
      <c r="AJ286" s="125"/>
      <c r="AK286" s="125"/>
      <c r="AL286" s="125"/>
      <c r="AM286" s="125"/>
      <c r="AN286" s="125"/>
      <c r="AO286" s="125"/>
      <c r="AP286" s="125"/>
      <c r="AQ286" s="125"/>
      <c r="AR286" s="125"/>
      <c r="AS286" s="125"/>
      <c r="AT286" s="125"/>
      <c r="AU286" s="125"/>
      <c r="AV286" s="125"/>
      <c r="AW286" s="125"/>
      <c r="AX286" s="125"/>
      <c r="AY286" s="125"/>
      <c r="AZ286" s="125"/>
      <c r="BA286" s="125"/>
    </row>
    <row r="287" spans="1:53">
      <c r="A287" s="868"/>
      <c r="B287" s="843"/>
      <c r="C287" s="843"/>
      <c r="D287" s="843"/>
      <c r="E287" s="843"/>
      <c r="F287" s="843"/>
      <c r="G287" s="843"/>
      <c r="H287" s="843"/>
      <c r="I287" s="843"/>
      <c r="J287" s="843"/>
      <c r="K287" s="843"/>
      <c r="L287" s="843"/>
      <c r="M287" s="843"/>
      <c r="N287" s="843"/>
      <c r="O287" s="843"/>
      <c r="P287" s="843"/>
      <c r="Q287" s="843"/>
      <c r="R287" s="843"/>
      <c r="S287" s="843"/>
      <c r="T287" s="843"/>
      <c r="U287" s="47"/>
      <c r="V287" s="47"/>
      <c r="W287" s="47"/>
      <c r="X287" s="1447"/>
      <c r="Y287" s="628"/>
      <c r="Z287" s="606"/>
      <c r="AA287" s="606"/>
      <c r="AB287" s="606"/>
      <c r="AC287" s="606"/>
      <c r="AD287" s="606"/>
      <c r="AE287" s="606"/>
      <c r="AF287" s="606"/>
      <c r="AG287" s="606"/>
      <c r="AH287" s="125"/>
      <c r="AI287" s="125"/>
      <c r="AJ287" s="125"/>
      <c r="AK287" s="125"/>
      <c r="AL287" s="125"/>
      <c r="AM287" s="125"/>
      <c r="AN287" s="125"/>
      <c r="AO287" s="125"/>
      <c r="AP287" s="125"/>
      <c r="AQ287" s="125"/>
      <c r="AR287" s="125"/>
      <c r="AS287" s="125"/>
      <c r="AT287" s="125"/>
      <c r="AU287" s="125"/>
      <c r="AV287" s="125"/>
      <c r="AW287" s="125"/>
      <c r="AX287" s="125"/>
      <c r="AY287" s="125"/>
      <c r="AZ287" s="125"/>
      <c r="BA287" s="125"/>
    </row>
    <row r="288" spans="1:53">
      <c r="A288" s="868"/>
      <c r="B288" s="843"/>
      <c r="C288" s="843"/>
      <c r="D288" s="843"/>
      <c r="E288" s="843"/>
      <c r="F288" s="843"/>
      <c r="G288" s="843"/>
      <c r="H288" s="843"/>
      <c r="I288" s="843"/>
      <c r="J288" s="843"/>
      <c r="K288" s="843"/>
      <c r="L288" s="843"/>
      <c r="M288" s="843"/>
      <c r="N288" s="843"/>
      <c r="O288" s="843"/>
      <c r="P288" s="843"/>
      <c r="Q288" s="843"/>
      <c r="R288" s="843"/>
      <c r="S288" s="843"/>
      <c r="T288" s="843"/>
      <c r="U288" s="47"/>
      <c r="V288" s="47"/>
      <c r="W288" s="47"/>
      <c r="X288" s="1447"/>
      <c r="Y288" s="628"/>
      <c r="Z288" s="606"/>
      <c r="AA288" s="606"/>
      <c r="AB288" s="606"/>
      <c r="AC288" s="606"/>
      <c r="AD288" s="606"/>
      <c r="AE288" s="606"/>
      <c r="AF288" s="606"/>
      <c r="AG288" s="606"/>
      <c r="AH288" s="125"/>
      <c r="AI288" s="125"/>
      <c r="AJ288" s="125"/>
      <c r="AK288" s="125"/>
      <c r="AL288" s="125"/>
      <c r="AM288" s="125"/>
      <c r="AN288" s="125"/>
      <c r="AO288" s="125"/>
      <c r="AP288" s="125"/>
      <c r="AQ288" s="125"/>
      <c r="AR288" s="125"/>
      <c r="AS288" s="125"/>
      <c r="AT288" s="125"/>
      <c r="AU288" s="125"/>
      <c r="AV288" s="125"/>
      <c r="AW288" s="125"/>
      <c r="AX288" s="125"/>
      <c r="AY288" s="125"/>
      <c r="AZ288" s="125"/>
      <c r="BA288" s="125"/>
    </row>
    <row r="289" spans="1:53">
      <c r="A289" s="868"/>
      <c r="B289" s="843"/>
      <c r="C289" s="843"/>
      <c r="D289" s="843"/>
      <c r="E289" s="843"/>
      <c r="F289" s="843"/>
      <c r="G289" s="843"/>
      <c r="H289" s="843"/>
      <c r="I289" s="843"/>
      <c r="J289" s="843"/>
      <c r="K289" s="843"/>
      <c r="L289" s="843"/>
      <c r="M289" s="843"/>
      <c r="N289" s="843"/>
      <c r="O289" s="843"/>
      <c r="P289" s="843"/>
      <c r="Q289" s="843"/>
      <c r="R289" s="843"/>
      <c r="S289" s="843"/>
      <c r="T289" s="843"/>
      <c r="U289" s="47"/>
      <c r="V289" s="47"/>
      <c r="W289" s="47"/>
      <c r="X289" s="1447"/>
      <c r="Y289" s="628"/>
      <c r="Z289" s="606"/>
      <c r="AA289" s="606"/>
      <c r="AB289" s="606"/>
      <c r="AC289" s="606"/>
      <c r="AD289" s="606"/>
      <c r="AE289" s="606"/>
      <c r="AF289" s="606"/>
      <c r="AG289" s="606"/>
      <c r="AH289" s="125"/>
      <c r="AI289" s="125"/>
      <c r="AJ289" s="125"/>
      <c r="AK289" s="125"/>
      <c r="AL289" s="125"/>
      <c r="AM289" s="125"/>
      <c r="AN289" s="125"/>
      <c r="AO289" s="125"/>
      <c r="AP289" s="125"/>
      <c r="AQ289" s="125"/>
      <c r="AR289" s="125"/>
      <c r="AS289" s="125"/>
      <c r="AT289" s="125"/>
      <c r="AU289" s="125"/>
      <c r="AV289" s="125"/>
      <c r="AW289" s="125"/>
      <c r="AX289" s="125"/>
      <c r="AY289" s="125"/>
      <c r="AZ289" s="125"/>
      <c r="BA289" s="125"/>
    </row>
    <row r="290" spans="1:53">
      <c r="A290" s="868"/>
      <c r="B290" s="628"/>
      <c r="C290" s="628"/>
      <c r="D290" s="628"/>
      <c r="E290" s="628"/>
      <c r="F290" s="628"/>
      <c r="G290" s="628"/>
      <c r="H290" s="628"/>
      <c r="I290" s="628"/>
      <c r="J290" s="628"/>
      <c r="K290" s="628"/>
      <c r="L290" s="628"/>
      <c r="M290" s="628"/>
      <c r="N290" s="628"/>
      <c r="O290" s="628"/>
      <c r="P290" s="628"/>
      <c r="Q290" s="628"/>
      <c r="R290" s="628"/>
      <c r="S290" s="628"/>
      <c r="T290" s="628"/>
      <c r="U290" s="628"/>
      <c r="V290" s="628"/>
      <c r="W290" s="628"/>
      <c r="X290" s="628"/>
      <c r="Y290" s="628"/>
      <c r="Z290" s="606"/>
      <c r="AA290" s="606"/>
      <c r="AB290" s="606"/>
      <c r="AC290" s="606"/>
      <c r="AD290" s="606"/>
      <c r="AE290" s="606"/>
      <c r="AF290" s="606"/>
      <c r="AG290" s="606"/>
      <c r="AH290" s="125"/>
      <c r="AI290" s="125"/>
      <c r="AJ290" s="125"/>
      <c r="AK290" s="125"/>
      <c r="AL290" s="125"/>
      <c r="AM290" s="125"/>
      <c r="AN290" s="125"/>
      <c r="AO290" s="125"/>
      <c r="AP290" s="125"/>
      <c r="AQ290" s="125"/>
      <c r="AR290" s="125"/>
      <c r="AS290" s="125"/>
      <c r="AT290" s="125"/>
      <c r="AU290" s="125"/>
      <c r="AV290" s="125"/>
      <c r="AW290" s="125"/>
      <c r="AX290" s="125"/>
      <c r="AY290" s="125"/>
      <c r="AZ290" s="125"/>
      <c r="BA290" s="125"/>
    </row>
    <row r="291" spans="1:53">
      <c r="A291" s="628"/>
      <c r="B291" s="628"/>
      <c r="C291" s="628"/>
      <c r="D291" s="628"/>
      <c r="E291" s="628"/>
      <c r="F291" s="628"/>
      <c r="G291" s="628"/>
      <c r="H291" s="628"/>
      <c r="I291" s="628"/>
      <c r="J291" s="628"/>
      <c r="K291" s="628"/>
      <c r="L291" s="628"/>
      <c r="M291" s="628"/>
      <c r="N291" s="628"/>
      <c r="O291" s="628"/>
      <c r="P291" s="628"/>
      <c r="Q291" s="628"/>
      <c r="R291" s="628"/>
      <c r="S291" s="628"/>
      <c r="T291" s="628"/>
      <c r="U291" s="628"/>
      <c r="V291" s="628"/>
      <c r="W291" s="628"/>
      <c r="X291" s="628"/>
      <c r="Y291" s="628"/>
      <c r="Z291" s="606"/>
      <c r="AA291" s="606"/>
      <c r="AB291" s="606"/>
      <c r="AC291" s="606"/>
      <c r="AD291" s="606"/>
      <c r="AE291" s="606"/>
      <c r="AF291" s="606"/>
      <c r="AG291" s="606"/>
      <c r="AH291" s="125"/>
      <c r="AI291" s="125"/>
      <c r="AJ291" s="125"/>
      <c r="AK291" s="125"/>
      <c r="AL291" s="125"/>
      <c r="AM291" s="125"/>
      <c r="AN291" s="125"/>
      <c r="AO291" s="125"/>
      <c r="AP291" s="125"/>
      <c r="AQ291" s="125"/>
      <c r="AR291" s="125"/>
      <c r="AS291" s="125"/>
      <c r="AT291" s="125"/>
      <c r="AU291" s="125"/>
      <c r="AV291" s="125"/>
      <c r="AW291" s="125"/>
      <c r="AX291" s="125"/>
      <c r="AY291" s="125"/>
      <c r="AZ291" s="125"/>
      <c r="BA291" s="125"/>
    </row>
  </sheetData>
  <sheetProtection password="FA80" sheet="1" objects="1" scenarios="1"/>
  <mergeCells count="309">
    <mergeCell ref="J1:O2"/>
    <mergeCell ref="G52:H52"/>
    <mergeCell ref="A1:B1"/>
    <mergeCell ref="V1:X1"/>
    <mergeCell ref="V2:X2"/>
    <mergeCell ref="Z2:AL2"/>
    <mergeCell ref="AN2:AY2"/>
    <mergeCell ref="AK3:AL3"/>
    <mergeCell ref="Z3:Z4"/>
    <mergeCell ref="AA3:AB4"/>
    <mergeCell ref="AC3:AD4"/>
    <mergeCell ref="AE3:AF4"/>
    <mergeCell ref="AG3:AH4"/>
    <mergeCell ref="AI3:AJ4"/>
    <mergeCell ref="D4:F4"/>
    <mergeCell ref="H4:O4"/>
    <mergeCell ref="R4:W4"/>
    <mergeCell ref="I5:O5"/>
    <mergeCell ref="R5:W5"/>
    <mergeCell ref="AA5:AB5"/>
    <mergeCell ref="AC5:AD5"/>
    <mergeCell ref="AE5:AF5"/>
    <mergeCell ref="AG5:AH5"/>
    <mergeCell ref="AI5:AJ5"/>
    <mergeCell ref="F5:F7"/>
    <mergeCell ref="AM5:BA7"/>
    <mergeCell ref="I6:O6"/>
    <mergeCell ref="R6:W6"/>
    <mergeCell ref="AA6:AB6"/>
    <mergeCell ref="AC6:AD6"/>
    <mergeCell ref="AE6:AF6"/>
    <mergeCell ref="AG6:AH6"/>
    <mergeCell ref="AI6:AJ6"/>
    <mergeCell ref="I7:O7"/>
    <mergeCell ref="R7:W7"/>
    <mergeCell ref="AA7:AB7"/>
    <mergeCell ref="AC7:AD7"/>
    <mergeCell ref="AE7:AF7"/>
    <mergeCell ref="AG7:AH7"/>
    <mergeCell ref="AI7:AJ7"/>
    <mergeCell ref="H8:O8"/>
    <mergeCell ref="R8:W8"/>
    <mergeCell ref="AA8:AB8"/>
    <mergeCell ref="AC8:AD8"/>
    <mergeCell ref="AE8:AF8"/>
    <mergeCell ref="AG8:AH8"/>
    <mergeCell ref="AI8:AJ8"/>
    <mergeCell ref="AK8:AL8"/>
    <mergeCell ref="R9:W9"/>
    <mergeCell ref="AG9:AL9"/>
    <mergeCell ref="AM9:AM10"/>
    <mergeCell ref="AZ9:BA10"/>
    <mergeCell ref="D11:E11"/>
    <mergeCell ref="I11:K11"/>
    <mergeCell ref="Z11:AL11"/>
    <mergeCell ref="AZ11:BA11"/>
    <mergeCell ref="A11:A12"/>
    <mergeCell ref="B11:B12"/>
    <mergeCell ref="C11:C12"/>
    <mergeCell ref="D12:E12"/>
    <mergeCell ref="J12:K12"/>
    <mergeCell ref="AZ12:BA12"/>
    <mergeCell ref="M12:V12"/>
    <mergeCell ref="B10:G10"/>
    <mergeCell ref="J13:K13"/>
    <mergeCell ref="M13:R13"/>
    <mergeCell ref="T13:W13"/>
    <mergeCell ref="J14:K14"/>
    <mergeCell ref="J15:K15"/>
    <mergeCell ref="M15:O15"/>
    <mergeCell ref="P15:W15"/>
    <mergeCell ref="M16:O16"/>
    <mergeCell ref="P16:W16"/>
    <mergeCell ref="J16:K17"/>
    <mergeCell ref="L16:L17"/>
    <mergeCell ref="M17:O17"/>
    <mergeCell ref="P17:W17"/>
    <mergeCell ref="M14:W14"/>
    <mergeCell ref="J18:K18"/>
    <mergeCell ref="M18:O18"/>
    <mergeCell ref="P18:W18"/>
    <mergeCell ref="M19:R19"/>
    <mergeCell ref="V19:W19"/>
    <mergeCell ref="J20:W20"/>
    <mergeCell ref="J21:W21"/>
    <mergeCell ref="J25:K25"/>
    <mergeCell ref="M25:O25"/>
    <mergeCell ref="Q25:V25"/>
    <mergeCell ref="J26:K26"/>
    <mergeCell ref="M26:O26"/>
    <mergeCell ref="L30:P30"/>
    <mergeCell ref="L31:P31"/>
    <mergeCell ref="L32:P32"/>
    <mergeCell ref="M33:P33"/>
    <mergeCell ref="M34:P34"/>
    <mergeCell ref="O35:P35"/>
    <mergeCell ref="L38:P38"/>
    <mergeCell ref="Q38:V38"/>
    <mergeCell ref="I41:K41"/>
    <mergeCell ref="I42:W42"/>
    <mergeCell ref="I43:K43"/>
    <mergeCell ref="I44:K44"/>
    <mergeCell ref="M44:W44"/>
    <mergeCell ref="I45:K45"/>
    <mergeCell ref="L45:M45"/>
    <mergeCell ref="N45:O45"/>
    <mergeCell ref="P45:Q45"/>
    <mergeCell ref="R45:S45"/>
    <mergeCell ref="T45:U45"/>
    <mergeCell ref="V45:W45"/>
    <mergeCell ref="M43:V43"/>
    <mergeCell ref="I46:K46"/>
    <mergeCell ref="L46:M46"/>
    <mergeCell ref="N46:O46"/>
    <mergeCell ref="P46:Q46"/>
    <mergeCell ref="R46:S46"/>
    <mergeCell ref="T46:U46"/>
    <mergeCell ref="V46:W46"/>
    <mergeCell ref="L47:M47"/>
    <mergeCell ref="N47:O47"/>
    <mergeCell ref="P47:Q47"/>
    <mergeCell ref="R47:S47"/>
    <mergeCell ref="T47:U47"/>
    <mergeCell ref="V47:W47"/>
    <mergeCell ref="I47:K47"/>
    <mergeCell ref="I48:J48"/>
    <mergeCell ref="L48:M48"/>
    <mergeCell ref="N48:O48"/>
    <mergeCell ref="P48:Q48"/>
    <mergeCell ref="R48:S48"/>
    <mergeCell ref="T48:U48"/>
    <mergeCell ref="V48:W48"/>
    <mergeCell ref="I51:K51"/>
    <mergeCell ref="I52:S52"/>
    <mergeCell ref="I53:K53"/>
    <mergeCell ref="M53:W53"/>
    <mergeCell ref="I54:K54"/>
    <mergeCell ref="M54:W54"/>
    <mergeCell ref="I57:K57"/>
    <mergeCell ref="M57:O57"/>
    <mergeCell ref="I58:K58"/>
    <mergeCell ref="M58:S58"/>
    <mergeCell ref="I59:K59"/>
    <mergeCell ref="M59:S59"/>
    <mergeCell ref="I60:K60"/>
    <mergeCell ref="M60:S60"/>
    <mergeCell ref="I61:K61"/>
    <mergeCell ref="M61:S61"/>
    <mergeCell ref="I62:K62"/>
    <mergeCell ref="M62:S62"/>
    <mergeCell ref="I63:K63"/>
    <mergeCell ref="M63:S63"/>
    <mergeCell ref="I64:K64"/>
    <mergeCell ref="M64:S64"/>
    <mergeCell ref="I65:K65"/>
    <mergeCell ref="M65:S65"/>
    <mergeCell ref="I69:K69"/>
    <mergeCell ref="N69:R69"/>
    <mergeCell ref="I70:K70"/>
    <mergeCell ref="I71:K71"/>
    <mergeCell ref="I72:K72"/>
    <mergeCell ref="I73:K73"/>
    <mergeCell ref="I68:L68"/>
    <mergeCell ref="I74:K74"/>
    <mergeCell ref="I75:K75"/>
    <mergeCell ref="I78:L78"/>
    <mergeCell ref="I79:V79"/>
    <mergeCell ref="I80:K80"/>
    <mergeCell ref="M80:V80"/>
    <mergeCell ref="A80:A85"/>
    <mergeCell ref="B80:B85"/>
    <mergeCell ref="C80:C85"/>
    <mergeCell ref="E81:F81"/>
    <mergeCell ref="I81:K81"/>
    <mergeCell ref="M81:V81"/>
    <mergeCell ref="D82:F82"/>
    <mergeCell ref="I82:K82"/>
    <mergeCell ref="M82:V82"/>
    <mergeCell ref="I83:K83"/>
    <mergeCell ref="M83:V83"/>
    <mergeCell ref="D83:F85"/>
    <mergeCell ref="I84:K84"/>
    <mergeCell ref="M84:V84"/>
    <mergeCell ref="I85:K85"/>
    <mergeCell ref="M85:V85"/>
    <mergeCell ref="I86:K86"/>
    <mergeCell ref="M86:V86"/>
    <mergeCell ref="I87:K87"/>
    <mergeCell ref="M87:V87"/>
    <mergeCell ref="I89:L89"/>
    <mergeCell ref="I90:K90"/>
    <mergeCell ref="I91:K91"/>
    <mergeCell ref="I92:K92"/>
    <mergeCell ref="D93:E93"/>
    <mergeCell ref="I93:K93"/>
    <mergeCell ref="L93:O93"/>
    <mergeCell ref="A93:A94"/>
    <mergeCell ref="B93:B94"/>
    <mergeCell ref="C93:C94"/>
    <mergeCell ref="D94:E94"/>
    <mergeCell ref="I94:K94"/>
    <mergeCell ref="Z94:AL94"/>
    <mergeCell ref="I95:K95"/>
    <mergeCell ref="H95:H114"/>
    <mergeCell ref="I96:K96"/>
    <mergeCell ref="I97:K97"/>
    <mergeCell ref="J100:K100"/>
    <mergeCell ref="L100:P100"/>
    <mergeCell ref="Q100:R100"/>
    <mergeCell ref="V100:W100"/>
    <mergeCell ref="L101:P101"/>
    <mergeCell ref="Q101:S101"/>
    <mergeCell ref="L102:P102"/>
    <mergeCell ref="J104:K104"/>
    <mergeCell ref="O105:P106"/>
    <mergeCell ref="O109:P109"/>
    <mergeCell ref="O110:P110"/>
    <mergeCell ref="J113:L113"/>
    <mergeCell ref="O113:Q113"/>
    <mergeCell ref="O114:T114"/>
    <mergeCell ref="A133:A134"/>
    <mergeCell ref="B133:B134"/>
    <mergeCell ref="J114:J115"/>
    <mergeCell ref="K114:K115"/>
    <mergeCell ref="L114:L115"/>
    <mergeCell ref="D115:E115"/>
    <mergeCell ref="O115:P115"/>
    <mergeCell ref="A115:A116"/>
    <mergeCell ref="B115:B116"/>
    <mergeCell ref="C115:C116"/>
    <mergeCell ref="D116:E116"/>
    <mergeCell ref="O116:P116"/>
    <mergeCell ref="D134:E134"/>
    <mergeCell ref="J134:K134"/>
    <mergeCell ref="P134:Q134"/>
    <mergeCell ref="J132:K133"/>
    <mergeCell ref="M132:O132"/>
    <mergeCell ref="P132:Q133"/>
    <mergeCell ref="C133:C134"/>
    <mergeCell ref="A132:B132"/>
    <mergeCell ref="D132:G132"/>
    <mergeCell ref="O124:R124"/>
    <mergeCell ref="D133:E133"/>
    <mergeCell ref="A152:D152"/>
    <mergeCell ref="J152:L152"/>
    <mergeCell ref="E153:F153"/>
    <mergeCell ref="E154:F154"/>
    <mergeCell ref="E158:F158"/>
    <mergeCell ref="A160:B160"/>
    <mergeCell ref="S160:U160"/>
    <mergeCell ref="S161:W162"/>
    <mergeCell ref="S164:T164"/>
    <mergeCell ref="V164:W164"/>
    <mergeCell ref="X284:X289"/>
    <mergeCell ref="S165:T165"/>
    <mergeCell ref="V165:W165"/>
    <mergeCell ref="V166:W166"/>
    <mergeCell ref="T166:T167"/>
    <mergeCell ref="U166:U167"/>
    <mergeCell ref="T209:W214"/>
    <mergeCell ref="T215:W220"/>
    <mergeCell ref="V148:W148"/>
    <mergeCell ref="X276:X283"/>
    <mergeCell ref="S148:U148"/>
    <mergeCell ref="J149:P149"/>
    <mergeCell ref="S149:U149"/>
    <mergeCell ref="V149:W149"/>
    <mergeCell ref="S132:U132"/>
    <mergeCell ref="J135:K135"/>
    <mergeCell ref="P135:Q135"/>
    <mergeCell ref="P136:Q136"/>
    <mergeCell ref="J137:K137"/>
    <mergeCell ref="P137:Q137"/>
    <mergeCell ref="J138:K138"/>
    <mergeCell ref="P138:Q138"/>
    <mergeCell ref="J139:K139"/>
    <mergeCell ref="P139:Q139"/>
    <mergeCell ref="J140:K140"/>
    <mergeCell ref="P140:Q140"/>
    <mergeCell ref="J141:K141"/>
    <mergeCell ref="M142:O142"/>
    <mergeCell ref="P142:Q142"/>
    <mergeCell ref="P141:Q141"/>
    <mergeCell ref="J142:L142"/>
    <mergeCell ref="J146:Q146"/>
    <mergeCell ref="A135:A142"/>
    <mergeCell ref="J136:K136"/>
    <mergeCell ref="Z134:AL134"/>
    <mergeCell ref="F9:P9"/>
    <mergeCell ref="J145:K145"/>
    <mergeCell ref="V147:X147"/>
    <mergeCell ref="B143:F147"/>
    <mergeCell ref="Z116:AL116"/>
    <mergeCell ref="O117:P117"/>
    <mergeCell ref="A117:A131"/>
    <mergeCell ref="H117:H131"/>
    <mergeCell ref="I117:I131"/>
    <mergeCell ref="O118:P118"/>
    <mergeCell ref="R118:S118"/>
    <mergeCell ref="O119:P119"/>
    <mergeCell ref="R119:S119"/>
    <mergeCell ref="O120:P120"/>
    <mergeCell ref="R120:S120"/>
    <mergeCell ref="O125:P125"/>
    <mergeCell ref="R125:T127"/>
    <mergeCell ref="O126:P126"/>
    <mergeCell ref="O127:P127"/>
    <mergeCell ref="J131:K131"/>
    <mergeCell ref="R115:S117"/>
  </mergeCells>
  <conditionalFormatting sqref="L43:L44">
    <cfRule type="cellIs" dxfId="18" priority="15" stopIfTrue="1" operator="equal">
      <formula>0</formula>
    </cfRule>
    <cfRule type="cellIs" dxfId="17" priority="16" stopIfTrue="1" operator="greaterThan">
      <formula>0</formula>
    </cfRule>
  </conditionalFormatting>
  <conditionalFormatting sqref="H6">
    <cfRule type="cellIs" dxfId="16" priority="17" stopIfTrue="1" operator="lessThan">
      <formula>0.5</formula>
    </cfRule>
    <cfRule type="cellIs" dxfId="15" priority="18" stopIfTrue="1" operator="greaterThan">
      <formula>0.75</formula>
    </cfRule>
  </conditionalFormatting>
  <conditionalFormatting sqref="H7">
    <cfRule type="cellIs" dxfId="14" priority="19" stopIfTrue="1" operator="greaterThan">
      <formula>0.3</formula>
    </cfRule>
  </conditionalFormatting>
  <conditionalFormatting sqref="H5">
    <cfRule type="cellIs" dxfId="13" priority="20" stopIfTrue="1" operator="lessThan">
      <formula>9</formula>
    </cfRule>
    <cfRule type="cellIs" dxfId="12" priority="21" stopIfTrue="1" operator="greaterThan">
      <formula>20</formula>
    </cfRule>
    <cfRule type="cellIs" dxfId="11" priority="22" stopIfTrue="1" operator="between">
      <formula>15</formula>
      <formula>20</formula>
    </cfRule>
  </conditionalFormatting>
  <conditionalFormatting sqref="L58">
    <cfRule type="cellIs" dxfId="10" priority="23" stopIfTrue="1" operator="lessThan">
      <formula>150</formula>
    </cfRule>
  </conditionalFormatting>
  <conditionalFormatting sqref="E155">
    <cfRule type="cellIs" dxfId="9" priority="24" stopIfTrue="1" operator="notEqual">
      <formula>E154</formula>
    </cfRule>
  </conditionalFormatting>
  <conditionalFormatting sqref="F155">
    <cfRule type="cellIs" dxfId="8" priority="25" stopIfTrue="1" operator="notEqual">
      <formula>E154</formula>
    </cfRule>
  </conditionalFormatting>
  <conditionalFormatting sqref="L53">
    <cfRule type="cellIs" dxfId="7" priority="26" stopIfTrue="1" operator="between">
      <formula>L61*4.2/4.5</formula>
      <formula>L61</formula>
    </cfRule>
    <cfRule type="cellIs" dxfId="6" priority="27" stopIfTrue="1" operator="greaterThan">
      <formula>L61</formula>
    </cfRule>
  </conditionalFormatting>
  <conditionalFormatting sqref="L54">
    <cfRule type="cellIs" dxfId="5" priority="28" stopIfTrue="1" operator="between">
      <formula>0</formula>
      <formula>L61*0.3/4.5</formula>
    </cfRule>
    <cfRule type="cellIs" dxfId="4" priority="29" stopIfTrue="1" operator="lessThanOrEqual">
      <formula>0</formula>
    </cfRule>
  </conditionalFormatting>
  <conditionalFormatting sqref="L83">
    <cfRule type="cellIs" dxfId="3" priority="30" stopIfTrue="1" operator="greaterThan">
      <formula>4</formula>
    </cfRule>
  </conditionalFormatting>
  <conditionalFormatting sqref="L92">
    <cfRule type="cellIs" dxfId="2" priority="1" operator="equal">
      <formula>0</formula>
    </cfRule>
  </conditionalFormatting>
  <hyperlinks>
    <hyperlink ref="V2" r:id="rId1"/>
    <hyperlink ref="W2" r:id="rId2" display="http://www.petespintpot.co.uk/"/>
    <hyperlink ref="G5" location="'Wine &amp; Cider Calc'!Z5" display="ALCOHOL"/>
    <hyperlink ref="I5" location="'Wine &amp; Cider Calc'!M81" display="'Wine &amp; Cider Calc'!M81"/>
    <hyperlink ref="J5" location="'Wine &amp; Cider Calc'!M81" display="'Wine &amp; Cider Calc'!M81"/>
    <hyperlink ref="K5" location="'Wine &amp; Cider Calc'!M81" display="'Wine &amp; Cider Calc'!M81"/>
    <hyperlink ref="L5" location="'Wine &amp; Cider Calc'!M81" display="'Wine &amp; Cider Calc'!M81"/>
    <hyperlink ref="M5" location="'Wine &amp; Cider Calc'!M81" display="'Wine &amp; Cider Calc'!M81"/>
    <hyperlink ref="N5" location="'Wine &amp; Cider Calc'!M81" display="'Wine &amp; Cider Calc'!M81"/>
    <hyperlink ref="O5" location="'Wine &amp; Cider Calc'!M81" display="'Wine &amp; Cider Calc'!M81"/>
    <hyperlink ref="G6" location="'Wine &amp; Cider Calc'!Z6" display="ACIDITY"/>
    <hyperlink ref="G7" location="'Wine &amp; Cider Calc'!Z7" display="TANNIN"/>
    <hyperlink ref="F8" location="'Wine &amp; Cider Calc'!L61" display="'Wine &amp; Cider Calc'!L61"/>
    <hyperlink ref="G8" location="'Wine &amp; Cider Calc'!Z8" display="STYLE"/>
    <hyperlink ref="H8" location="'Wine &amp; Cider Calc'!I41" display="'Wine &amp; Cider Calc'!I41"/>
    <hyperlink ref="B11" location="'Wine &amp; Cider Calc'!B10" display="Mat. Time "/>
    <hyperlink ref="D11" location="'Wine &amp; Cider Calc'!AC11" display="FRUIT"/>
    <hyperlink ref="E11" location="'Wine Calc'!AA9" display="'Wine Calc'!AA9"/>
    <hyperlink ref="B12" location="'Wine &amp; Cider Calc'!B10" display="'Wine &amp; Cider Calc'!B10"/>
    <hyperlink ref="B26" location="'Extract Calc'!B98" display="'Extract Calc'!B98"/>
    <hyperlink ref="M36" r:id="rId3" display="http://www.petespintpot.co.uk/"/>
    <hyperlink ref="R36" r:id="rId4" display="http://www.petespintpot.co.uk/"/>
    <hyperlink ref="M37" r:id="rId5" display="mailto:david.barrow@live.co.uk"/>
    <hyperlink ref="R37" r:id="rId6"/>
    <hyperlink ref="B38" location="'Extract Calc'!B88" display="'Extract Calc'!B88"/>
    <hyperlink ref="R38" r:id="rId7" display="mailto:david.barrow@live.co.uk"/>
    <hyperlink ref="B39" location="'Extract Calc'!B88" display="'Extract Calc'!B88"/>
    <hyperlink ref="V42" r:id="rId8" display="http://www.petespintpot.co.uk/"/>
    <hyperlink ref="W42" r:id="rId9" display="http://www.petespintpot.co.uk/"/>
    <hyperlink ref="K43" location="'Wine Calc'!G68" display="'Wine Calc'!G68"/>
    <hyperlink ref="K44" location="'Wine Calc'!G68" display="'Wine Calc'!G68"/>
    <hyperlink ref="J46" location="'Wine Calc'!AA7" display="'Wine Calc'!AA7"/>
    <hyperlink ref="K46" r:id="rId10" display="http://www.petespintpot.co.uk/kitmod.html"/>
    <hyperlink ref="K48" location="'Wine &amp; Cider Calc'!E8" display="'Wine &amp; Cider Calc'!E8"/>
    <hyperlink ref="I52" location="'Wine &amp; Cider Calc'!B141" display="This assumes that the any vegetables (cells B141:F144) are catered for as per cell L13. Use the figures below as a VERY APPROX. GUIDE only."/>
    <hyperlink ref="J52" location="'Wine &amp; Cider Calc'!B141" display="'Wine &amp; Cider Calc'!B141"/>
    <hyperlink ref="K52" location="'Wine &amp; Cider Calc'!B141" display="'Wine &amp; Cider Calc'!B141"/>
    <hyperlink ref="L52" location="'Wine &amp; Cider Calc'!B141" display="'Wine &amp; Cider Calc'!B141"/>
    <hyperlink ref="M52" location="'Wine &amp; Cider Calc'!B141" display="'Wine &amp; Cider Calc'!B141"/>
    <hyperlink ref="N52" location="'Wine &amp; Cider Calc'!B141" display="'Wine &amp; Cider Calc'!B141"/>
    <hyperlink ref="O52" location="'Wine &amp; Cider Calc'!B141" display="'Wine &amp; Cider Calc'!B141"/>
    <hyperlink ref="P52" location="'Wine &amp; Cider Calc'!B141" display="'Wine &amp; Cider Calc'!B141"/>
    <hyperlink ref="Q52" location="'Wine &amp; Cider Calc'!B141" display="'Wine &amp; Cider Calc'!B141"/>
    <hyperlink ref="R52" location="'Wine &amp; Cider Calc'!B141" display="'Wine &amp; Cider Calc'!B141"/>
    <hyperlink ref="S52" location="'Wine &amp; Cider Calc'!B141" display="'Wine &amp; Cider Calc'!B141"/>
    <hyperlink ref="T52" location="'Wine &amp; Cider Calc'!A140" display="'Wine &amp; Cider Calc'!A140"/>
    <hyperlink ref="U52" location="'Wine &amp; Cider Calc'!A140" display="'Wine &amp; Cider Calc'!A140"/>
    <hyperlink ref="V52" location="'Wine &amp; Cider Calc'!B142" display="'Wine &amp; Cider Calc'!B142"/>
    <hyperlink ref="W52" location="'Wine &amp; Cider Calc'!B142" display="'Wine &amp; Cider Calc'!B142"/>
    <hyperlink ref="X52" location="'Wine &amp; Cider Calc'!B142" display="'Wine &amp; Cider Calc'!B142"/>
    <hyperlink ref="K57" location="'Wine Calc'!D7" display="'Wine Calc'!D7"/>
    <hyperlink ref="L57" location="'Wine &amp; Cider Calc'!E8" display="'Wine &amp; Cider Calc'!E8"/>
    <hyperlink ref="I79" location="'Wine &amp; Cider Calc'!L43" display="'Wine &amp; Cider Calc'!L43"/>
    <hyperlink ref="J79" location="'Wine &amp; Cider Calc'!L43" display="'Wine &amp; Cider Calc'!L43"/>
    <hyperlink ref="K79" location="'Wine &amp; Cider Calc'!L43" display="'Wine &amp; Cider Calc'!L43"/>
    <hyperlink ref="L79" location="'Wine &amp; Cider Calc'!L43" display="'Wine &amp; Cider Calc'!L43"/>
    <hyperlink ref="M79" location="'Wine &amp; Cider Calc'!L43" display="'Wine &amp; Cider Calc'!L43"/>
    <hyperlink ref="N79" location="'Wine &amp; Cider Calc'!L43" display="'Wine &amp; Cider Calc'!L43"/>
    <hyperlink ref="O79" location="'Wine &amp; Cider Calc'!L43" display="'Wine &amp; Cider Calc'!L43"/>
    <hyperlink ref="P79" location="'Wine &amp; Cider Calc'!L43" display="'Wine &amp; Cider Calc'!L43"/>
    <hyperlink ref="Q79" location="'Wine &amp; Cider Calc'!L43" display="'Wine &amp; Cider Calc'!L43"/>
    <hyperlink ref="R79" location="'Wine &amp; Cider Calc'!L43" display="'Wine &amp; Cider Calc'!L43"/>
    <hyperlink ref="S79" location="'Wine &amp; Cider Calc'!L43" display="'Wine &amp; Cider Calc'!L43"/>
    <hyperlink ref="T79" location="'Wine &amp; Cider Calc'!L43" display="'Wine &amp; Cider Calc'!L43"/>
    <hyperlink ref="U79" location="'Wine &amp; Cider Calc'!L43" display="'Wine &amp; Cider Calc'!L43"/>
    <hyperlink ref="V79" location="'Wine &amp; Cider Calc'!L43" display="'Wine &amp; Cider Calc'!L43"/>
    <hyperlink ref="L81" location="'Wine &amp; Cider Calc'!L89" display="'Wine &amp; Cider Calc'!L89"/>
    <hyperlink ref="B93" location="'Wine &amp; Cider Calc'!B10" display="Mat. Time "/>
    <hyperlink ref="D93" location="'Wine &amp; Cider Calc'!AC94" display="TINS"/>
    <hyperlink ref="E93" location="'Wine &amp; Cider Calc'!AC94" display="'Wine &amp; Cider Calc'!AC94"/>
    <hyperlink ref="I93" location="'Wine &amp; Cider Calc'!L43" display="'Wine &amp; Cider Calc'!L43"/>
    <hyperlink ref="J93" location="'Wine &amp; Cider Calc'!L43" display="'Wine &amp; Cider Calc'!L43"/>
    <hyperlink ref="K93" location="'Wine &amp; Cider Calc'!L43" display="'Wine &amp; Cider Calc'!L43"/>
    <hyperlink ref="B94" location="'Wine &amp; Cider Calc'!B10" display="'Wine &amp; Cider Calc'!B10"/>
    <hyperlink ref="B115" location="'Wine &amp; Cider Calc'!B10" display="Mat. Time "/>
    <hyperlink ref="D115" location="'Wine &amp; Cider Calc'!AC116" display="JUICES"/>
    <hyperlink ref="E115" location="'Wine &amp; Cider Calc'!AC116" display="'Wine &amp; Cider Calc'!AC116"/>
    <hyperlink ref="B116" location="'Wine &amp; Cider Calc'!B10" display="'Wine &amp; Cider Calc'!B10"/>
    <hyperlink ref="P120" location="'Wine Calc'!J40" display="'Wine Calc'!J40"/>
    <hyperlink ref="B133" location="'Wine &amp; Cider Calc'!B10" display="Mat. Time "/>
    <hyperlink ref="D133" location="'Wine &amp; Cider Calc'!AC133" display="VEGETABLES"/>
    <hyperlink ref="E133" location="'Wine &amp; Cider Calc'!AC133" display="'Wine &amp; Cider Calc'!AC133"/>
    <hyperlink ref="B134" location="'Wine &amp; Cider Calc'!B10" display="'Wine &amp; Cider Calc'!B10"/>
    <hyperlink ref="B143" location="'Wine &amp; Cider Calc'!L13" display="'Wine &amp; Cider Calc'!L13"/>
    <hyperlink ref="U148" location="'Wine Calc'!G68" display="'Wine Calc'!G68"/>
    <hyperlink ref="U149" location="'Wine Calc'!AA5" display="'Wine Calc'!AA5"/>
    <hyperlink ref="X276" r:id="rId11"/>
    <hyperlink ref="D132:E132" r:id="rId12" display="Purée waste factor (nominally &quot;10&quot;, see cell L59)"/>
    <hyperlink ref="I52:S52" location="'Wine &amp; Cider Calc'!B143" display="This assumes that the any vegetables (cells B143:F146) are catered for as per cell L13. Use the figures below as a VERY APPROX. GUIDE only."/>
    <hyperlink ref="D132:G132" location="'Wine &amp; Cider Calc'!L59" display="Purée waste factor, this is assumed nominally set at &quot;10&quot;, see cell L59 for details."/>
    <hyperlink ref="V148" r:id="rId13"/>
    <hyperlink ref="V149" r:id="rId14"/>
    <hyperlink ref="BA130:BA132" location="_Toc40529806" display="_Toc40529806"/>
    <hyperlink ref="BA233:BA235" location="_Toc40529806" display="_Toc40529806"/>
    <hyperlink ref="D133:E133" location="'Wine &amp; Cider Calc'!Z134" display="VEGETABLES"/>
  </hyperlinks>
  <printOptions horizontalCentered="1"/>
  <pageMargins left="0.31496062992125984" right="0.31496062992125984" top="0.6692913385826772" bottom="0.70866141732283472" header="0.31496062992125984" footer="0.31496062992125984"/>
  <pageSetup paperSize="9" scale="35" fitToHeight="2" pageOrder="overThenDown" orientation="portrait" r:id="rId15"/>
  <rowBreaks count="1" manualBreakCount="1">
    <brk id="151" max="23" man="1"/>
  </rowBreaks>
  <drawing r:id="rId16"/>
</worksheet>
</file>

<file path=xl/worksheets/sheet4.xml><?xml version="1.0" encoding="utf-8"?>
<worksheet xmlns="http://schemas.openxmlformats.org/spreadsheetml/2006/main" xmlns:r="http://schemas.openxmlformats.org/officeDocument/2006/relationships">
  <sheetPr>
    <tabColor rgb="FFFF0000"/>
    <pageSetUpPr fitToPage="1"/>
  </sheetPr>
  <dimension ref="A1:K76"/>
  <sheetViews>
    <sheetView topLeftCell="A38" zoomScale="90" zoomScaleNormal="90" zoomScaleSheetLayoutView="98" workbookViewId="0">
      <selection activeCell="F87" sqref="F87"/>
    </sheetView>
  </sheetViews>
  <sheetFormatPr defaultColWidth="8.7109375" defaultRowHeight="15"/>
  <cols>
    <col min="1" max="1" width="1.7109375" style="790" customWidth="1"/>
    <col min="2" max="2" width="41.140625" style="715" customWidth="1"/>
    <col min="3" max="9" width="11.28515625" style="715" customWidth="1"/>
    <col min="10" max="10" width="1.42578125" style="785" customWidth="1"/>
    <col min="11" max="11" width="2.28515625" style="713" customWidth="1"/>
    <col min="12" max="16384" width="8.7109375" style="713"/>
  </cols>
  <sheetData>
    <row r="1" spans="1:11" ht="20.25">
      <c r="A1" s="1725" t="s">
        <v>962</v>
      </c>
      <c r="B1" s="1725"/>
      <c r="C1" s="1726" t="s">
        <v>28</v>
      </c>
      <c r="D1" s="1726"/>
      <c r="E1" s="1726"/>
      <c r="F1" s="1726"/>
      <c r="G1" s="791"/>
      <c r="H1" s="791"/>
      <c r="I1" s="1727" t="s">
        <v>960</v>
      </c>
      <c r="J1" s="1727"/>
      <c r="K1" s="908"/>
    </row>
    <row r="2" spans="1:11">
      <c r="A2" s="765"/>
      <c r="B2" s="792"/>
      <c r="C2" s="793"/>
      <c r="D2" s="793"/>
      <c r="E2" s="793"/>
      <c r="F2" s="793"/>
      <c r="G2" s="793"/>
      <c r="H2" s="793"/>
      <c r="I2" s="794"/>
      <c r="J2" s="795"/>
      <c r="K2" s="908"/>
    </row>
    <row r="3" spans="1:11">
      <c r="A3" s="765"/>
      <c r="B3" s="909" t="s">
        <v>17</v>
      </c>
      <c r="C3" s="909"/>
      <c r="D3" s="909"/>
      <c r="E3" s="909"/>
      <c r="F3" s="909"/>
      <c r="G3" s="909"/>
      <c r="H3" s="909"/>
      <c r="I3" s="909"/>
      <c r="J3" s="795"/>
      <c r="K3" s="908"/>
    </row>
    <row r="4" spans="1:11" ht="25.5">
      <c r="A4" s="765"/>
      <c r="B4" s="910" t="s">
        <v>649</v>
      </c>
      <c r="C4" s="911" t="s">
        <v>650</v>
      </c>
      <c r="D4" s="911" t="s">
        <v>651</v>
      </c>
      <c r="E4" s="911" t="s">
        <v>652</v>
      </c>
      <c r="F4" s="911" t="s">
        <v>653</v>
      </c>
      <c r="G4" s="911" t="s">
        <v>654</v>
      </c>
      <c r="H4" s="911" t="s">
        <v>655</v>
      </c>
      <c r="I4" s="911" t="s">
        <v>656</v>
      </c>
      <c r="J4" s="795"/>
      <c r="K4" s="908"/>
    </row>
    <row r="5" spans="1:11" ht="15" customHeight="1">
      <c r="A5" s="765"/>
      <c r="B5" s="912" t="s">
        <v>657</v>
      </c>
      <c r="C5" s="913" t="s">
        <v>658</v>
      </c>
      <c r="D5" s="913" t="s">
        <v>659</v>
      </c>
      <c r="E5" s="913" t="s">
        <v>660</v>
      </c>
      <c r="F5" s="913" t="s">
        <v>661</v>
      </c>
      <c r="G5" s="913" t="s">
        <v>662</v>
      </c>
      <c r="H5" s="913" t="s">
        <v>663</v>
      </c>
      <c r="I5" s="913" t="s">
        <v>664</v>
      </c>
      <c r="J5" s="795"/>
      <c r="K5" s="908"/>
    </row>
    <row r="6" spans="1:11" ht="15" customHeight="1">
      <c r="A6" s="765"/>
      <c r="B6" s="912" t="s">
        <v>665</v>
      </c>
      <c r="C6" s="913" t="s">
        <v>666</v>
      </c>
      <c r="D6" s="913" t="s">
        <v>667</v>
      </c>
      <c r="E6" s="913" t="s">
        <v>668</v>
      </c>
      <c r="F6" s="913" t="s">
        <v>669</v>
      </c>
      <c r="G6" s="913" t="s">
        <v>670</v>
      </c>
      <c r="H6" s="913" t="s">
        <v>671</v>
      </c>
      <c r="I6" s="913" t="s">
        <v>672</v>
      </c>
      <c r="J6" s="795"/>
      <c r="K6" s="908"/>
    </row>
    <row r="7" spans="1:11" ht="15" customHeight="1">
      <c r="A7" s="765"/>
      <c r="B7" s="795"/>
      <c r="C7" s="795"/>
      <c r="D7" s="795"/>
      <c r="E7" s="795"/>
      <c r="F7" s="795"/>
      <c r="G7" s="795"/>
      <c r="H7" s="795"/>
      <c r="I7" s="795"/>
      <c r="J7" s="795"/>
      <c r="K7" s="908"/>
    </row>
    <row r="8" spans="1:11" ht="15" customHeight="1" thickBot="1">
      <c r="A8" s="765"/>
      <c r="B8" s="777" t="s">
        <v>673</v>
      </c>
      <c r="C8" s="795"/>
      <c r="D8" s="795"/>
      <c r="E8" s="795"/>
      <c r="F8" s="795"/>
      <c r="G8" s="795"/>
      <c r="H8" s="795"/>
      <c r="I8" s="795"/>
      <c r="J8" s="795"/>
      <c r="K8" s="908"/>
    </row>
    <row r="9" spans="1:11" ht="15" customHeight="1" thickBot="1">
      <c r="A9" s="765"/>
      <c r="B9" s="778" t="s">
        <v>674</v>
      </c>
      <c r="C9" s="795"/>
      <c r="D9" s="795"/>
      <c r="E9" s="795"/>
      <c r="F9" s="795"/>
      <c r="G9" s="795"/>
      <c r="H9" s="795"/>
      <c r="I9" s="795"/>
      <c r="J9" s="795"/>
      <c r="K9" s="908"/>
    </row>
    <row r="10" spans="1:11" ht="15" customHeight="1">
      <c r="A10" s="765"/>
      <c r="B10" s="796"/>
      <c r="C10" s="795"/>
      <c r="D10" s="795"/>
      <c r="E10" s="795"/>
      <c r="F10" s="795"/>
      <c r="G10" s="795"/>
      <c r="H10" s="795"/>
      <c r="I10" s="795"/>
      <c r="J10" s="795"/>
      <c r="K10" s="908"/>
    </row>
    <row r="11" spans="1:11" ht="15" customHeight="1">
      <c r="A11" s="765"/>
      <c r="B11" s="776" t="s">
        <v>675</v>
      </c>
      <c r="C11" s="714"/>
      <c r="D11" s="714"/>
      <c r="E11" s="795"/>
      <c r="F11" s="795"/>
      <c r="G11" s="795"/>
      <c r="H11" s="795"/>
      <c r="I11" s="795"/>
      <c r="J11" s="795"/>
      <c r="K11" s="908"/>
    </row>
    <row r="12" spans="1:11" ht="15" customHeight="1">
      <c r="A12" s="650"/>
      <c r="B12" s="714" t="s">
        <v>679</v>
      </c>
      <c r="C12" s="779">
        <v>0.1</v>
      </c>
      <c r="D12" s="714" t="s">
        <v>349</v>
      </c>
      <c r="E12" s="787"/>
      <c r="F12" s="787"/>
      <c r="G12" s="787"/>
      <c r="H12" s="787"/>
      <c r="I12" s="787"/>
      <c r="J12" s="787"/>
      <c r="K12" s="766"/>
    </row>
    <row r="13" spans="1:11" ht="15" customHeight="1">
      <c r="A13" s="650"/>
      <c r="B13" s="714" t="s">
        <v>677</v>
      </c>
      <c r="C13" s="779">
        <v>5</v>
      </c>
      <c r="D13" s="714" t="s">
        <v>70</v>
      </c>
      <c r="E13" s="787"/>
      <c r="F13" s="787"/>
      <c r="G13" s="787"/>
      <c r="H13" s="787"/>
      <c r="I13" s="787"/>
      <c r="J13" s="787"/>
      <c r="K13" s="766"/>
    </row>
    <row r="14" spans="1:11" ht="15" customHeight="1">
      <c r="A14" s="650"/>
      <c r="B14" s="714" t="s">
        <v>676</v>
      </c>
      <c r="C14" s="779">
        <v>4700</v>
      </c>
      <c r="D14" s="714" t="s">
        <v>70</v>
      </c>
      <c r="E14" s="787"/>
      <c r="F14" s="787"/>
      <c r="G14" s="787"/>
      <c r="H14" s="787"/>
      <c r="I14" s="787"/>
      <c r="J14" s="787"/>
      <c r="K14" s="766"/>
    </row>
    <row r="15" spans="1:11" ht="15" customHeight="1">
      <c r="A15" s="650"/>
      <c r="B15" s="714" t="s">
        <v>678</v>
      </c>
      <c r="C15" s="779">
        <v>4</v>
      </c>
      <c r="D15" s="714" t="s">
        <v>70</v>
      </c>
      <c r="E15" s="787"/>
      <c r="F15" s="787"/>
      <c r="G15" s="787"/>
      <c r="H15" s="787"/>
      <c r="I15" s="787"/>
      <c r="J15" s="787"/>
      <c r="K15" s="766"/>
    </row>
    <row r="16" spans="1:11" ht="15" customHeight="1" thickBot="1">
      <c r="A16" s="650"/>
      <c r="B16" s="714" t="s">
        <v>680</v>
      </c>
      <c r="C16" s="779">
        <v>0.65</v>
      </c>
      <c r="D16" s="714" t="s">
        <v>301</v>
      </c>
      <c r="E16" s="787"/>
      <c r="F16" s="787"/>
      <c r="G16" s="787"/>
      <c r="H16" s="787"/>
      <c r="I16" s="787"/>
      <c r="J16" s="787"/>
      <c r="K16" s="766"/>
    </row>
    <row r="17" spans="1:11" ht="15" hidden="1" customHeight="1">
      <c r="A17" s="650"/>
      <c r="B17" s="714" t="s">
        <v>681</v>
      </c>
      <c r="C17" s="780">
        <f>($C$15*$C$12)/1000</f>
        <v>4.0000000000000002E-4</v>
      </c>
      <c r="D17" s="714" t="s">
        <v>682</v>
      </c>
      <c r="E17" s="787"/>
      <c r="F17" s="787"/>
      <c r="G17" s="787"/>
      <c r="H17" s="787"/>
      <c r="I17" s="787"/>
      <c r="J17" s="787"/>
      <c r="K17" s="766"/>
    </row>
    <row r="18" spans="1:11" ht="15" hidden="1" customHeight="1">
      <c r="A18" s="650"/>
      <c r="B18" s="714" t="s">
        <v>683</v>
      </c>
      <c r="C18" s="780">
        <f>$C$17*(100/$C$13)</f>
        <v>8.0000000000000002E-3</v>
      </c>
      <c r="D18" s="714" t="s">
        <v>682</v>
      </c>
      <c r="E18" s="787"/>
      <c r="F18" s="787"/>
      <c r="G18" s="787"/>
      <c r="H18" s="787"/>
      <c r="I18" s="787"/>
      <c r="J18" s="787"/>
      <c r="K18" s="766"/>
    </row>
    <row r="19" spans="1:11" ht="15" hidden="1" customHeight="1">
      <c r="A19" s="650"/>
      <c r="B19" s="714" t="s">
        <v>684</v>
      </c>
      <c r="C19" s="780">
        <f>$C$17*($C$14/$C$13)</f>
        <v>0.376</v>
      </c>
      <c r="D19" s="714" t="s">
        <v>682</v>
      </c>
      <c r="E19" s="787"/>
      <c r="F19" s="787"/>
      <c r="G19" s="787"/>
      <c r="H19" s="787"/>
      <c r="I19" s="787"/>
      <c r="J19" s="787"/>
      <c r="K19" s="766"/>
    </row>
    <row r="20" spans="1:11" ht="15" hidden="1" customHeight="1">
      <c r="A20" s="650"/>
      <c r="B20" s="714" t="s">
        <v>685</v>
      </c>
      <c r="C20" s="780">
        <f>$C$17/2</f>
        <v>2.0000000000000001E-4</v>
      </c>
      <c r="D20" s="714" t="s">
        <v>682</v>
      </c>
      <c r="E20" s="787"/>
      <c r="F20" s="787"/>
      <c r="G20" s="787"/>
      <c r="H20" s="787"/>
      <c r="I20" s="787"/>
      <c r="J20" s="787"/>
      <c r="K20" s="766"/>
    </row>
    <row r="21" spans="1:11" ht="15" hidden="1" customHeight="1">
      <c r="A21" s="650"/>
      <c r="B21" s="714" t="s">
        <v>686</v>
      </c>
      <c r="C21" s="780">
        <f>$C$18/2</f>
        <v>4.0000000000000001E-3</v>
      </c>
      <c r="D21" s="714" t="s">
        <v>682</v>
      </c>
      <c r="E21" s="787"/>
      <c r="F21" s="787"/>
      <c r="G21" s="787"/>
      <c r="H21" s="787"/>
      <c r="I21" s="787"/>
      <c r="J21" s="787"/>
      <c r="K21" s="766"/>
    </row>
    <row r="22" spans="1:11" ht="15" hidden="1" customHeight="1" thickBot="1">
      <c r="A22" s="650"/>
      <c r="B22" s="714" t="s">
        <v>687</v>
      </c>
      <c r="C22" s="780">
        <f>$C$19/2</f>
        <v>0.188</v>
      </c>
      <c r="D22" s="714" t="s">
        <v>682</v>
      </c>
      <c r="E22" s="787"/>
      <c r="F22" s="787"/>
      <c r="G22" s="787"/>
      <c r="H22" s="787"/>
      <c r="I22" s="787"/>
      <c r="J22" s="787"/>
      <c r="K22" s="766"/>
    </row>
    <row r="23" spans="1:11" ht="15" customHeight="1">
      <c r="A23" s="650"/>
      <c r="B23" s="714" t="s">
        <v>688</v>
      </c>
      <c r="C23" s="901">
        <f>$C$21*98</f>
        <v>0.39200000000000002</v>
      </c>
      <c r="D23" s="714" t="s">
        <v>301</v>
      </c>
      <c r="E23" s="795"/>
      <c r="F23" s="795"/>
      <c r="G23" s="795"/>
      <c r="H23" s="795"/>
      <c r="I23" s="795"/>
      <c r="J23" s="787"/>
      <c r="K23" s="766"/>
    </row>
    <row r="24" spans="1:11" ht="15" customHeight="1" thickBot="1">
      <c r="A24" s="650"/>
      <c r="B24" s="714" t="s">
        <v>689</v>
      </c>
      <c r="C24" s="902">
        <f>$C$21*150</f>
        <v>0.6</v>
      </c>
      <c r="D24" s="714" t="s">
        <v>301</v>
      </c>
      <c r="E24" s="795"/>
      <c r="F24" s="795"/>
      <c r="G24" s="795"/>
      <c r="H24" s="795"/>
      <c r="I24" s="795"/>
      <c r="J24" s="787"/>
      <c r="K24" s="766"/>
    </row>
    <row r="25" spans="1:11" ht="15" hidden="1" customHeight="1">
      <c r="A25" s="650"/>
      <c r="B25" s="714" t="s">
        <v>880</v>
      </c>
      <c r="C25" s="903">
        <f>$C$16/150</f>
        <v>4.3333333333333331E-3</v>
      </c>
      <c r="D25" s="714" t="s">
        <v>682</v>
      </c>
      <c r="E25" s="795"/>
      <c r="F25" s="795"/>
      <c r="G25" s="795"/>
      <c r="H25" s="795"/>
      <c r="I25" s="795"/>
      <c r="J25" s="787"/>
      <c r="K25" s="766"/>
    </row>
    <row r="26" spans="1:11" ht="15" hidden="1" customHeight="1">
      <c r="A26" s="650"/>
      <c r="B26" s="714" t="s">
        <v>881</v>
      </c>
      <c r="C26" s="903">
        <f>C25-C21</f>
        <v>3.3333333333333305E-4</v>
      </c>
      <c r="D26" s="714" t="s">
        <v>682</v>
      </c>
      <c r="E26" s="795"/>
      <c r="F26" s="795"/>
      <c r="G26" s="795"/>
      <c r="H26" s="795"/>
      <c r="I26" s="795"/>
      <c r="J26" s="787"/>
      <c r="K26" s="766"/>
    </row>
    <row r="27" spans="1:11" ht="15" hidden="1" customHeight="1">
      <c r="A27" s="650"/>
      <c r="B27" s="714" t="s">
        <v>882</v>
      </c>
      <c r="C27" s="903">
        <f>C21-C25</f>
        <v>-3.3333333333333305E-4</v>
      </c>
      <c r="D27" s="714" t="s">
        <v>682</v>
      </c>
      <c r="E27" s="795"/>
      <c r="F27" s="795"/>
      <c r="G27" s="795"/>
      <c r="H27" s="795"/>
      <c r="I27" s="795"/>
      <c r="J27" s="787"/>
      <c r="K27" s="766"/>
    </row>
    <row r="28" spans="1:11" ht="15" customHeight="1">
      <c r="A28" s="650"/>
      <c r="B28" s="714"/>
      <c r="C28" s="781"/>
      <c r="D28" s="714"/>
      <c r="E28" s="795"/>
      <c r="F28" s="795"/>
      <c r="G28" s="795"/>
      <c r="H28" s="795"/>
      <c r="I28" s="795"/>
      <c r="J28" s="787"/>
      <c r="K28" s="766"/>
    </row>
    <row r="29" spans="1:11" ht="15" customHeight="1" thickBot="1">
      <c r="A29" s="650"/>
      <c r="B29" s="782" t="s">
        <v>690</v>
      </c>
      <c r="C29" s="783"/>
      <c r="D29" s="714"/>
      <c r="E29" s="795"/>
      <c r="F29" s="795"/>
      <c r="G29" s="795"/>
      <c r="H29" s="795"/>
      <c r="I29" s="795"/>
      <c r="J29" s="787"/>
      <c r="K29" s="766"/>
    </row>
    <row r="30" spans="1:11" ht="15" customHeight="1">
      <c r="A30" s="650"/>
      <c r="B30" s="714" t="s">
        <v>691</v>
      </c>
      <c r="C30" s="904">
        <f>($C$26*150)*($C$14/100)</f>
        <v>2.3499999999999983</v>
      </c>
      <c r="D30" s="714" t="s">
        <v>51</v>
      </c>
      <c r="E30" s="795"/>
      <c r="F30" s="795"/>
      <c r="G30" s="795"/>
      <c r="H30" s="795"/>
      <c r="I30" s="795"/>
      <c r="J30" s="787"/>
      <c r="K30" s="766"/>
    </row>
    <row r="31" spans="1:11" ht="15" customHeight="1">
      <c r="A31" s="650"/>
      <c r="B31" s="714" t="s">
        <v>692</v>
      </c>
      <c r="C31" s="905">
        <f>((0.6666667*$C$26)*192)*($C$14/100)</f>
        <v>2.0053334335999979</v>
      </c>
      <c r="D31" s="714" t="s">
        <v>51</v>
      </c>
      <c r="E31" s="795"/>
      <c r="F31" s="795"/>
      <c r="G31" s="795"/>
      <c r="H31" s="795"/>
      <c r="I31" s="795"/>
      <c r="J31" s="787"/>
      <c r="K31" s="766"/>
    </row>
    <row r="32" spans="1:11" ht="15" customHeight="1" thickBot="1">
      <c r="A32" s="650"/>
      <c r="B32" s="714" t="s">
        <v>693</v>
      </c>
      <c r="C32" s="902">
        <f>($C$26*134)*($C$14/100)</f>
        <v>2.0993333333333317</v>
      </c>
      <c r="D32" s="714" t="s">
        <v>51</v>
      </c>
      <c r="E32" s="795"/>
      <c r="F32" s="795"/>
      <c r="G32" s="795"/>
      <c r="H32" s="795"/>
      <c r="I32" s="795"/>
      <c r="J32" s="787"/>
      <c r="K32" s="766"/>
    </row>
    <row r="33" spans="1:11" ht="15" customHeight="1">
      <c r="A33" s="650"/>
      <c r="B33" s="714"/>
      <c r="C33" s="906"/>
      <c r="D33" s="714"/>
      <c r="E33" s="795"/>
      <c r="F33" s="795"/>
      <c r="G33" s="795"/>
      <c r="H33" s="795"/>
      <c r="I33" s="795"/>
      <c r="J33" s="787"/>
      <c r="K33" s="766"/>
    </row>
    <row r="34" spans="1:11" ht="15" customHeight="1" thickBot="1">
      <c r="A34" s="650"/>
      <c r="B34" s="776" t="s">
        <v>694</v>
      </c>
      <c r="C34" s="907"/>
      <c r="D34" s="714"/>
      <c r="E34" s="795"/>
      <c r="F34" s="795"/>
      <c r="G34" s="795"/>
      <c r="H34" s="795"/>
      <c r="I34" s="795"/>
      <c r="J34" s="787"/>
      <c r="K34" s="766"/>
    </row>
    <row r="35" spans="1:11" ht="15" customHeight="1">
      <c r="A35" s="650"/>
      <c r="B35" s="784" t="s">
        <v>695</v>
      </c>
      <c r="C35" s="904">
        <f>($C$27*100)*($C$14/100)</f>
        <v>-1.5666666666666653</v>
      </c>
      <c r="D35" s="714" t="s">
        <v>51</v>
      </c>
      <c r="E35" s="795"/>
      <c r="F35" s="795"/>
      <c r="G35" s="795"/>
      <c r="H35" s="795"/>
      <c r="I35" s="795"/>
      <c r="J35" s="787"/>
      <c r="K35" s="766"/>
    </row>
    <row r="36" spans="1:11" ht="15" customHeight="1">
      <c r="A36" s="650"/>
      <c r="B36" s="714" t="s">
        <v>883</v>
      </c>
      <c r="C36" s="905">
        <f>(2*($C$27*100))*($C$14/100)</f>
        <v>-3.1333333333333306</v>
      </c>
      <c r="D36" s="714" t="s">
        <v>51</v>
      </c>
      <c r="E36" s="795"/>
      <c r="F36" s="795"/>
      <c r="G36" s="795"/>
      <c r="H36" s="795"/>
      <c r="I36" s="795"/>
      <c r="J36" s="787"/>
      <c r="K36" s="766"/>
    </row>
    <row r="37" spans="1:11" ht="15" customHeight="1" thickBot="1">
      <c r="A37" s="650"/>
      <c r="B37" s="714" t="s">
        <v>696</v>
      </c>
      <c r="C37" s="902">
        <f>(2*($C$27*84))*($C$14/100)</f>
        <v>-2.6319999999999979</v>
      </c>
      <c r="D37" s="714" t="s">
        <v>51</v>
      </c>
      <c r="E37" s="795"/>
      <c r="F37" s="795"/>
      <c r="G37" s="795"/>
      <c r="H37" s="795"/>
      <c r="I37" s="795"/>
      <c r="J37" s="787"/>
      <c r="K37" s="766"/>
    </row>
    <row r="38" spans="1:11" ht="15" customHeight="1">
      <c r="A38" s="650"/>
      <c r="B38" s="795"/>
      <c r="C38" s="795"/>
      <c r="D38" s="795"/>
      <c r="E38" s="795"/>
      <c r="F38" s="795"/>
      <c r="G38" s="795"/>
      <c r="H38" s="795"/>
      <c r="I38" s="795"/>
      <c r="J38" s="787"/>
      <c r="K38" s="766"/>
    </row>
    <row r="39" spans="1:11" ht="15" customHeight="1">
      <c r="A39" s="650"/>
      <c r="B39" s="787"/>
      <c r="C39" s="787"/>
      <c r="D39" s="787"/>
      <c r="E39" s="787"/>
      <c r="F39" s="787"/>
      <c r="G39" s="787"/>
      <c r="H39" s="787"/>
      <c r="I39" s="787"/>
      <c r="J39" s="787"/>
      <c r="K39" s="766"/>
    </row>
    <row r="40" spans="1:11" ht="15" customHeight="1">
      <c r="A40" s="650"/>
      <c r="B40" s="787"/>
      <c r="C40" s="787"/>
      <c r="D40" s="787"/>
      <c r="E40" s="787"/>
      <c r="F40" s="787"/>
      <c r="G40" s="787"/>
      <c r="H40" s="787"/>
      <c r="I40" s="787"/>
      <c r="J40" s="787"/>
      <c r="K40" s="766"/>
    </row>
    <row r="41" spans="1:11" ht="15" customHeight="1">
      <c r="A41" s="650"/>
      <c r="B41" s="787"/>
      <c r="C41" s="787"/>
      <c r="D41" s="787"/>
      <c r="E41" s="787"/>
      <c r="F41" s="787"/>
      <c r="G41" s="787"/>
      <c r="H41" s="787"/>
      <c r="I41" s="787"/>
      <c r="J41" s="787"/>
      <c r="K41" s="766"/>
    </row>
    <row r="42" spans="1:11" ht="15" customHeight="1">
      <c r="A42" s="650"/>
      <c r="B42" s="787"/>
      <c r="C42" s="787"/>
      <c r="D42" s="787"/>
      <c r="E42" s="787"/>
      <c r="F42" s="787"/>
      <c r="G42" s="787"/>
      <c r="H42" s="787"/>
      <c r="I42" s="787"/>
      <c r="J42" s="787"/>
      <c r="K42" s="766"/>
    </row>
    <row r="43" spans="1:11" ht="15" customHeight="1">
      <c r="A43" s="650"/>
      <c r="B43" s="787"/>
      <c r="C43" s="787"/>
      <c r="D43" s="787"/>
      <c r="E43" s="787"/>
      <c r="F43" s="787"/>
      <c r="G43" s="787"/>
      <c r="H43" s="787"/>
      <c r="I43" s="787"/>
      <c r="J43" s="787"/>
      <c r="K43" s="766"/>
    </row>
    <row r="44" spans="1:11" ht="15" customHeight="1">
      <c r="A44" s="650"/>
      <c r="B44" s="787"/>
      <c r="C44" s="787"/>
      <c r="D44" s="787"/>
      <c r="E44" s="787"/>
      <c r="F44" s="787"/>
      <c r="G44" s="787"/>
      <c r="H44" s="787"/>
      <c r="I44" s="787"/>
      <c r="J44" s="787"/>
      <c r="K44" s="766"/>
    </row>
    <row r="45" spans="1:11" ht="15" customHeight="1">
      <c r="A45" s="650"/>
      <c r="B45" s="787"/>
      <c r="C45" s="787"/>
      <c r="D45" s="787"/>
      <c r="E45" s="787"/>
      <c r="F45" s="787"/>
      <c r="G45" s="787"/>
      <c r="H45" s="787"/>
      <c r="I45" s="787"/>
      <c r="J45" s="787"/>
      <c r="K45" s="766"/>
    </row>
    <row r="46" spans="1:11" ht="15" customHeight="1">
      <c r="A46" s="650"/>
      <c r="B46" s="787"/>
      <c r="C46" s="787"/>
      <c r="D46" s="787"/>
      <c r="E46" s="787"/>
      <c r="F46" s="787"/>
      <c r="G46" s="787"/>
      <c r="H46" s="787"/>
      <c r="I46" s="787"/>
      <c r="J46" s="787"/>
      <c r="K46" s="766"/>
    </row>
    <row r="47" spans="1:11" ht="15" customHeight="1">
      <c r="A47" s="650"/>
      <c r="B47" s="787"/>
      <c r="C47" s="787"/>
      <c r="D47" s="787"/>
      <c r="E47" s="787"/>
      <c r="F47" s="787"/>
      <c r="G47" s="787"/>
      <c r="H47" s="787"/>
      <c r="I47" s="787"/>
      <c r="J47" s="787"/>
      <c r="K47" s="766"/>
    </row>
    <row r="48" spans="1:11" ht="15" customHeight="1">
      <c r="A48" s="650"/>
      <c r="B48" s="787"/>
      <c r="C48" s="787"/>
      <c r="D48" s="787"/>
      <c r="E48" s="787"/>
      <c r="F48" s="787"/>
      <c r="G48" s="787"/>
      <c r="H48" s="787"/>
      <c r="I48" s="787"/>
      <c r="J48" s="787"/>
      <c r="K48" s="766"/>
    </row>
    <row r="49" spans="1:11" ht="15" customHeight="1">
      <c r="A49" s="650"/>
      <c r="B49" s="787"/>
      <c r="C49" s="787"/>
      <c r="D49" s="787"/>
      <c r="E49" s="787"/>
      <c r="F49" s="787"/>
      <c r="G49" s="787"/>
      <c r="H49" s="787"/>
      <c r="I49" s="787"/>
      <c r="J49" s="787"/>
      <c r="K49" s="766"/>
    </row>
    <row r="50" spans="1:11" ht="15" customHeight="1">
      <c r="A50" s="650"/>
      <c r="B50" s="787"/>
      <c r="C50" s="787"/>
      <c r="D50" s="787"/>
      <c r="E50" s="787"/>
      <c r="F50" s="787"/>
      <c r="G50" s="787"/>
      <c r="H50" s="787"/>
      <c r="I50" s="787"/>
      <c r="J50" s="787"/>
      <c r="K50" s="766"/>
    </row>
    <row r="51" spans="1:11" ht="15" customHeight="1">
      <c r="A51" s="650"/>
      <c r="B51" s="787"/>
      <c r="C51" s="787"/>
      <c r="D51" s="787"/>
      <c r="E51" s="787"/>
      <c r="F51" s="787"/>
      <c r="G51" s="787"/>
      <c r="H51" s="787"/>
      <c r="I51" s="787"/>
      <c r="J51" s="787"/>
      <c r="K51" s="766"/>
    </row>
    <row r="52" spans="1:11" ht="15" customHeight="1">
      <c r="A52" s="650"/>
      <c r="B52" s="787"/>
      <c r="C52" s="787"/>
      <c r="D52" s="787"/>
      <c r="E52" s="787"/>
      <c r="F52" s="787"/>
      <c r="G52" s="787"/>
      <c r="H52" s="787"/>
      <c r="I52" s="787"/>
      <c r="J52" s="787"/>
      <c r="K52" s="766"/>
    </row>
    <row r="53" spans="1:11" ht="15" customHeight="1">
      <c r="A53" s="650"/>
      <c r="B53" s="787"/>
      <c r="C53" s="787"/>
      <c r="D53" s="787"/>
      <c r="E53" s="787"/>
      <c r="F53" s="787"/>
      <c r="G53" s="787"/>
      <c r="H53" s="787"/>
      <c r="I53" s="787"/>
      <c r="J53" s="787"/>
      <c r="K53" s="766"/>
    </row>
    <row r="54" spans="1:11" ht="15" customHeight="1">
      <c r="A54" s="650"/>
      <c r="B54" s="654" t="s">
        <v>635</v>
      </c>
      <c r="C54" s="787"/>
      <c r="D54" s="787"/>
      <c r="E54" s="787"/>
      <c r="F54" s="787"/>
      <c r="G54" s="787"/>
      <c r="H54" s="787"/>
      <c r="I54" s="787"/>
      <c r="J54" s="787"/>
      <c r="K54" s="766"/>
    </row>
    <row r="55" spans="1:11" ht="15" customHeight="1">
      <c r="A55" s="765"/>
      <c r="B55" s="787"/>
      <c r="C55" s="787"/>
      <c r="D55" s="787"/>
      <c r="E55" s="787"/>
      <c r="F55" s="787"/>
      <c r="G55" s="787"/>
      <c r="H55" s="787"/>
      <c r="I55" s="787"/>
      <c r="J55" s="787"/>
      <c r="K55" s="766"/>
    </row>
    <row r="56" spans="1:11" ht="15" customHeight="1">
      <c r="A56" s="765"/>
      <c r="B56" s="787"/>
      <c r="C56" s="787"/>
      <c r="D56" s="787"/>
      <c r="E56" s="787"/>
      <c r="F56" s="787"/>
      <c r="G56" s="787"/>
      <c r="H56" s="787"/>
      <c r="I56" s="787"/>
      <c r="J56" s="787"/>
      <c r="K56" s="766"/>
    </row>
    <row r="57" spans="1:11" ht="15" customHeight="1">
      <c r="A57" s="765"/>
      <c r="B57" s="787"/>
      <c r="C57" s="787"/>
      <c r="D57" s="787"/>
      <c r="E57" s="787"/>
      <c r="F57" s="787"/>
      <c r="G57" s="787"/>
      <c r="H57" s="787"/>
      <c r="I57" s="787"/>
      <c r="J57" s="787"/>
      <c r="K57" s="766"/>
    </row>
    <row r="58" spans="1:11" ht="15" customHeight="1">
      <c r="A58" s="765"/>
      <c r="B58" s="787"/>
      <c r="C58" s="787"/>
      <c r="D58" s="787"/>
      <c r="E58" s="787"/>
      <c r="F58" s="787"/>
      <c r="G58" s="787"/>
      <c r="H58" s="787"/>
      <c r="I58" s="787"/>
      <c r="J58" s="787"/>
      <c r="K58" s="766"/>
    </row>
    <row r="59" spans="1:11" ht="15" customHeight="1">
      <c r="A59" s="765"/>
      <c r="B59" s="787"/>
      <c r="C59" s="787"/>
      <c r="D59" s="787"/>
      <c r="E59" s="787"/>
      <c r="F59" s="787"/>
      <c r="G59" s="787"/>
      <c r="H59" s="787"/>
      <c r="I59" s="787"/>
      <c r="J59" s="787"/>
      <c r="K59" s="766"/>
    </row>
    <row r="60" spans="1:11" ht="15" customHeight="1">
      <c r="A60" s="765"/>
      <c r="B60" s="787"/>
      <c r="C60" s="787"/>
      <c r="D60" s="787"/>
      <c r="E60" s="787"/>
      <c r="F60" s="787"/>
      <c r="G60" s="787"/>
      <c r="H60" s="787"/>
      <c r="I60" s="787"/>
      <c r="J60" s="787"/>
      <c r="K60" s="766"/>
    </row>
    <row r="61" spans="1:11" ht="15" customHeight="1">
      <c r="A61" s="765"/>
      <c r="B61" s="787"/>
      <c r="C61" s="787"/>
      <c r="D61" s="787"/>
      <c r="E61" s="787"/>
      <c r="F61" s="787"/>
      <c r="G61" s="787"/>
      <c r="H61" s="787"/>
      <c r="I61" s="787"/>
      <c r="J61" s="787"/>
      <c r="K61" s="766"/>
    </row>
    <row r="62" spans="1:11" ht="15" customHeight="1">
      <c r="A62" s="765"/>
      <c r="B62" s="787"/>
      <c r="C62" s="787"/>
      <c r="D62" s="787"/>
      <c r="E62" s="787"/>
      <c r="F62" s="787"/>
      <c r="G62" s="787"/>
      <c r="H62" s="787"/>
      <c r="I62" s="787"/>
      <c r="J62" s="787"/>
      <c r="K62" s="766"/>
    </row>
    <row r="63" spans="1:11" ht="15" customHeight="1">
      <c r="A63" s="765"/>
      <c r="B63" s="787"/>
      <c r="C63" s="787"/>
      <c r="D63" s="787"/>
      <c r="E63" s="787"/>
      <c r="F63" s="787"/>
      <c r="G63" s="787"/>
      <c r="H63" s="787"/>
      <c r="I63" s="787"/>
      <c r="J63" s="787"/>
      <c r="K63" s="766"/>
    </row>
    <row r="64" spans="1:11" ht="15" customHeight="1">
      <c r="A64" s="765"/>
      <c r="B64" s="787"/>
      <c r="C64" s="787"/>
      <c r="D64" s="787"/>
      <c r="E64" s="787"/>
      <c r="F64" s="787"/>
      <c r="G64" s="787"/>
      <c r="H64" s="787"/>
      <c r="I64" s="787"/>
      <c r="J64" s="787"/>
      <c r="K64" s="766"/>
    </row>
    <row r="65" spans="1:11" ht="15" customHeight="1">
      <c r="A65" s="765"/>
      <c r="B65" s="787"/>
      <c r="C65" s="787"/>
      <c r="D65" s="787"/>
      <c r="E65" s="787"/>
      <c r="F65" s="787"/>
      <c r="G65" s="787"/>
      <c r="H65" s="787"/>
      <c r="I65" s="787"/>
      <c r="J65" s="787"/>
      <c r="K65" s="766"/>
    </row>
    <row r="66" spans="1:11" ht="15" customHeight="1">
      <c r="A66" s="765"/>
      <c r="B66" s="787"/>
      <c r="C66" s="787"/>
      <c r="D66" s="787"/>
      <c r="E66" s="787"/>
      <c r="F66" s="787"/>
      <c r="G66" s="787"/>
      <c r="H66" s="787"/>
      <c r="I66" s="787"/>
      <c r="J66" s="787"/>
      <c r="K66" s="766"/>
    </row>
    <row r="67" spans="1:11" ht="15" customHeight="1">
      <c r="A67" s="765"/>
      <c r="B67" s="787"/>
      <c r="C67" s="787"/>
      <c r="D67" s="787"/>
      <c r="E67" s="787"/>
      <c r="F67" s="787"/>
      <c r="G67" s="787"/>
      <c r="H67" s="787"/>
      <c r="I67" s="787"/>
      <c r="J67" s="787"/>
      <c r="K67" s="766"/>
    </row>
    <row r="68" spans="1:11" ht="15" customHeight="1">
      <c r="A68" s="765"/>
      <c r="B68" s="787"/>
      <c r="C68" s="787"/>
      <c r="D68" s="787"/>
      <c r="E68" s="787"/>
      <c r="F68" s="787"/>
      <c r="G68" s="787"/>
      <c r="H68" s="787"/>
      <c r="I68" s="787"/>
      <c r="J68" s="787"/>
      <c r="K68" s="766"/>
    </row>
    <row r="69" spans="1:11" ht="15" customHeight="1">
      <c r="A69" s="765"/>
      <c r="B69" s="787"/>
      <c r="C69" s="787"/>
      <c r="D69" s="787"/>
      <c r="E69" s="787"/>
      <c r="F69" s="787"/>
      <c r="G69" s="787"/>
      <c r="H69" s="787"/>
      <c r="I69" s="787"/>
      <c r="J69" s="787"/>
      <c r="K69" s="766"/>
    </row>
    <row r="70" spans="1:11" ht="15" customHeight="1">
      <c r="A70" s="765"/>
      <c r="B70" s="787"/>
      <c r="C70" s="787"/>
      <c r="D70" s="787"/>
      <c r="E70" s="787"/>
      <c r="F70" s="787"/>
      <c r="G70" s="787"/>
      <c r="H70" s="787"/>
      <c r="I70" s="787"/>
      <c r="J70" s="787"/>
      <c r="K70" s="766"/>
    </row>
    <row r="71" spans="1:11" ht="15" customHeight="1">
      <c r="A71" s="765"/>
      <c r="B71" s="787"/>
      <c r="C71" s="787"/>
      <c r="D71" s="787"/>
      <c r="E71" s="787"/>
      <c r="F71" s="787"/>
      <c r="G71" s="787"/>
      <c r="H71" s="787"/>
      <c r="I71" s="787"/>
      <c r="J71" s="787"/>
      <c r="K71" s="766"/>
    </row>
    <row r="72" spans="1:11" ht="15" customHeight="1">
      <c r="A72" s="765"/>
      <c r="B72" s="787"/>
      <c r="C72" s="787"/>
      <c r="D72" s="787"/>
      <c r="E72" s="787"/>
      <c r="F72" s="787"/>
      <c r="G72" s="787"/>
      <c r="H72" s="787"/>
      <c r="I72" s="787"/>
      <c r="J72" s="787"/>
      <c r="K72" s="766"/>
    </row>
    <row r="73" spans="1:11" ht="15" customHeight="1">
      <c r="A73" s="765"/>
      <c r="B73" s="787"/>
      <c r="C73" s="787"/>
      <c r="D73" s="787"/>
      <c r="E73" s="787"/>
      <c r="F73" s="787"/>
      <c r="G73" s="787"/>
      <c r="H73" s="787"/>
      <c r="I73" s="787"/>
      <c r="J73" s="787"/>
      <c r="K73" s="766"/>
    </row>
    <row r="74" spans="1:11" ht="15" customHeight="1">
      <c r="A74" s="786"/>
      <c r="B74" s="788"/>
      <c r="C74" s="788"/>
      <c r="D74" s="788"/>
      <c r="E74" s="788"/>
      <c r="F74" s="788"/>
      <c r="G74" s="1723" t="s">
        <v>39</v>
      </c>
      <c r="H74" s="1723"/>
      <c r="I74" s="1723"/>
      <c r="J74" s="1723"/>
      <c r="K74" s="766"/>
    </row>
    <row r="75" spans="1:11" ht="15" customHeight="1">
      <c r="A75" s="1724" t="s">
        <v>697</v>
      </c>
      <c r="B75" s="1724"/>
      <c r="C75" s="1724"/>
      <c r="D75" s="1724"/>
      <c r="E75" s="1724"/>
      <c r="F75" s="789"/>
      <c r="G75" s="1723" t="s">
        <v>43</v>
      </c>
      <c r="H75" s="1723"/>
      <c r="I75" s="1723"/>
      <c r="J75" s="1723"/>
      <c r="K75" s="766"/>
    </row>
    <row r="76" spans="1:11" ht="15" customHeight="1">
      <c r="A76" s="766"/>
      <c r="B76" s="766"/>
      <c r="C76" s="766"/>
      <c r="D76" s="766"/>
      <c r="E76" s="766"/>
      <c r="F76" s="766"/>
      <c r="G76" s="766"/>
      <c r="H76" s="766"/>
      <c r="I76" s="766"/>
      <c r="J76" s="766"/>
      <c r="K76" s="766"/>
    </row>
  </sheetData>
  <mergeCells count="6">
    <mergeCell ref="G75:J75"/>
    <mergeCell ref="A75:E75"/>
    <mergeCell ref="G74:J74"/>
    <mergeCell ref="A1:B1"/>
    <mergeCell ref="C1:F1"/>
    <mergeCell ref="I1:J1"/>
  </mergeCells>
  <conditionalFormatting sqref="D29:D37">
    <cfRule type="expression" dxfId="1" priority="10" stopIfTrue="1">
      <formula>ISERROR(D29)</formula>
    </cfRule>
  </conditionalFormatting>
  <conditionalFormatting sqref="C29:C37">
    <cfRule type="cellIs" dxfId="0" priority="7" operator="lessThan">
      <formula>0</formula>
    </cfRule>
  </conditionalFormatting>
  <hyperlinks>
    <hyperlink ref="G74" r:id="rId1"/>
    <hyperlink ref="G75" r:id="rId2"/>
  </hyperlinks>
  <printOptions horizontalCentered="1"/>
  <pageMargins left="0.51181102362204722" right="0.51181102362204722" top="0.47244094488188981" bottom="0.70866141732283472" header="0.31496062992125984" footer="0.31496062992125984"/>
  <pageSetup paperSize="9" scale="76" orientation="portrait" horizontalDpi="4294967293" verticalDpi="0" r:id="rId3"/>
  <drawing r:id="rId4"/>
</worksheet>
</file>

<file path=xl/worksheets/sheet5.xml><?xml version="1.0" encoding="utf-8"?>
<worksheet xmlns="http://schemas.openxmlformats.org/spreadsheetml/2006/main" xmlns:r="http://schemas.openxmlformats.org/officeDocument/2006/relationships">
  <sheetPr codeName="Sheet5">
    <tabColor indexed="48"/>
    <pageSetUpPr fitToPage="1"/>
  </sheetPr>
  <dimension ref="A1:V89"/>
  <sheetViews>
    <sheetView tabSelected="1" zoomScale="75" zoomScaleNormal="75" zoomScaleSheetLayoutView="75" workbookViewId="0">
      <pane ySplit="13" topLeftCell="A41" activePane="bottomLeft" state="frozen"/>
      <selection pane="bottomLeft" activeCell="L82" sqref="L82"/>
    </sheetView>
  </sheetViews>
  <sheetFormatPr defaultColWidth="8.85546875" defaultRowHeight="15"/>
  <cols>
    <col min="1" max="1" width="5" style="545" customWidth="1"/>
    <col min="2" max="2" width="34.85546875" style="545" customWidth="1"/>
    <col min="3" max="6" width="7.85546875" style="545" customWidth="1"/>
    <col min="7" max="8" width="5.7109375" style="545" hidden="1" customWidth="1"/>
    <col min="9" max="9" width="6" style="545" hidden="1" customWidth="1"/>
    <col min="10" max="10" width="0.7109375" style="545" customWidth="1"/>
    <col min="11" max="11" width="25" style="545" customWidth="1"/>
    <col min="12" max="14" width="7.85546875" style="545" customWidth="1"/>
    <col min="15" max="17" width="7.7109375" style="545" hidden="1" customWidth="1"/>
    <col min="18" max="18" width="8" style="673" customWidth="1"/>
    <col min="19" max="20" width="8" style="545" customWidth="1"/>
    <col min="21" max="21" width="8.140625" style="545" customWidth="1"/>
    <col min="22" max="22" width="2.5703125" style="545" customWidth="1"/>
    <col min="23" max="16384" width="8.85546875" style="545"/>
  </cols>
  <sheetData>
    <row r="1" spans="1:22" ht="27">
      <c r="A1" s="1769" t="s">
        <v>962</v>
      </c>
      <c r="B1" s="1769"/>
      <c r="C1" s="1030"/>
      <c r="D1" s="1773" t="s">
        <v>856</v>
      </c>
      <c r="E1" s="1773"/>
      <c r="F1" s="1773"/>
      <c r="G1" s="1773"/>
      <c r="H1" s="1773"/>
      <c r="I1" s="1773"/>
      <c r="J1" s="1773"/>
      <c r="K1" s="1773"/>
      <c r="L1" s="1773"/>
      <c r="M1" s="770"/>
      <c r="N1" s="543"/>
      <c r="O1" s="543"/>
      <c r="P1" s="543"/>
      <c r="Q1" s="543"/>
      <c r="R1" s="668"/>
      <c r="S1" s="543"/>
      <c r="T1" s="1770" t="s">
        <v>960</v>
      </c>
      <c r="U1" s="1770"/>
      <c r="V1" s="544"/>
    </row>
    <row r="2" spans="1:22" s="549" customFormat="1" ht="12" customHeight="1">
      <c r="A2" s="546"/>
      <c r="B2" s="547"/>
      <c r="C2" s="547"/>
      <c r="D2" s="547"/>
      <c r="E2" s="1774" t="s">
        <v>857</v>
      </c>
      <c r="F2" s="1774"/>
      <c r="G2" s="1774"/>
      <c r="H2" s="1774"/>
      <c r="I2" s="1774"/>
      <c r="J2" s="1774"/>
      <c r="K2" s="1774"/>
      <c r="L2" s="547"/>
      <c r="M2" s="547"/>
      <c r="N2" s="1771" t="s">
        <v>698</v>
      </c>
      <c r="O2" s="1771"/>
      <c r="P2" s="1771"/>
      <c r="Q2" s="1771"/>
      <c r="R2" s="1771"/>
      <c r="S2" s="1771"/>
      <c r="T2" s="1771"/>
      <c r="U2" s="1771"/>
      <c r="V2" s="548"/>
    </row>
    <row r="3" spans="1:22" s="549" customFormat="1" ht="9.6" customHeight="1">
      <c r="A3" s="546"/>
      <c r="B3" s="547"/>
      <c r="C3" s="550"/>
      <c r="D3" s="550"/>
      <c r="E3" s="550"/>
      <c r="F3" s="1031"/>
      <c r="G3" s="550"/>
      <c r="H3" s="551"/>
      <c r="I3" s="551"/>
      <c r="J3" s="551"/>
      <c r="K3" s="551"/>
      <c r="L3" s="551"/>
      <c r="M3" s="551"/>
      <c r="N3" s="1772" t="s">
        <v>699</v>
      </c>
      <c r="O3" s="1772"/>
      <c r="P3" s="1772"/>
      <c r="Q3" s="1772"/>
      <c r="R3" s="1772"/>
      <c r="S3" s="1772"/>
      <c r="T3" s="1772"/>
      <c r="U3" s="1772"/>
      <c r="V3" s="548"/>
    </row>
    <row r="4" spans="1:22" ht="14.45" customHeight="1">
      <c r="A4" s="1777" t="str">
        <f>"By calculation your `"&amp;A13&amp;"' should contain about - "</f>
        <v xml:space="preserve">By calculation your `Tequila Sunrise' should contain about - </v>
      </c>
      <c r="B4" s="1777"/>
      <c r="C4" s="1777"/>
      <c r="D4" s="1777"/>
      <c r="E4" s="1777"/>
      <c r="F4" s="1735" t="str">
        <f>FIXED((25*(C84+L84)+Q83),0)&amp;"ml (including any ice stated etc.)"</f>
        <v>312ml (including any ice stated etc.)</v>
      </c>
      <c r="G4" s="1735"/>
      <c r="H4" s="1735"/>
      <c r="I4" s="1735"/>
      <c r="J4" s="1735"/>
      <c r="K4" s="1735"/>
      <c r="L4" s="552"/>
      <c r="M4" s="553"/>
      <c r="N4" s="553"/>
      <c r="O4" s="553"/>
      <c r="P4" s="553"/>
      <c r="Q4" s="553"/>
      <c r="R4" s="669"/>
      <c r="S4" s="553"/>
      <c r="T4" s="553"/>
      <c r="U4" s="553"/>
      <c r="V4" s="552"/>
    </row>
    <row r="5" spans="1:22" ht="13.5" customHeight="1">
      <c r="A5" s="554"/>
      <c r="B5" s="1032"/>
      <c r="C5" s="1032"/>
      <c r="D5" s="1032"/>
      <c r="E5" s="554" t="s">
        <v>700</v>
      </c>
      <c r="F5" s="1735" t="str">
        <f>FIXED((H84+O83),0)&amp;" calories"</f>
        <v>307 calories</v>
      </c>
      <c r="G5" s="1735"/>
      <c r="H5" s="1735"/>
      <c r="I5" s="1735"/>
      <c r="J5" s="1735"/>
      <c r="K5" s="1778"/>
      <c r="L5" s="555"/>
      <c r="M5" s="556"/>
      <c r="N5" s="1775" t="s">
        <v>701</v>
      </c>
      <c r="O5" s="1776"/>
      <c r="P5" s="1776"/>
      <c r="Q5" s="1776"/>
      <c r="R5" s="1776"/>
      <c r="S5" s="1776"/>
      <c r="T5" s="1776"/>
      <c r="U5" s="557"/>
      <c r="V5" s="557"/>
    </row>
    <row r="6" spans="1:22" ht="13.5" customHeight="1">
      <c r="A6" s="554"/>
      <c r="B6" s="1032"/>
      <c r="C6" s="1032"/>
      <c r="D6" s="1032"/>
      <c r="E6" s="554" t="s">
        <v>700</v>
      </c>
      <c r="F6" s="1735" t="str">
        <f>FIXED((I84+P83),1)&amp;" carbs"</f>
        <v>35.5 carbs</v>
      </c>
      <c r="G6" s="1735"/>
      <c r="H6" s="1735"/>
      <c r="I6" s="1735"/>
      <c r="J6" s="1735"/>
      <c r="K6" s="1735"/>
      <c r="L6" s="552"/>
      <c r="M6" s="552"/>
      <c r="N6" s="552"/>
      <c r="O6" s="552"/>
      <c r="P6" s="552"/>
      <c r="Q6" s="552"/>
      <c r="R6" s="670"/>
      <c r="S6" s="552"/>
      <c r="T6" s="552"/>
      <c r="U6" s="558"/>
      <c r="V6" s="552"/>
    </row>
    <row r="7" spans="1:22" ht="13.5" customHeight="1">
      <c r="A7" s="1032"/>
      <c r="B7" s="1032"/>
      <c r="C7" s="1032"/>
      <c r="D7" s="1032"/>
      <c r="E7" s="554" t="s">
        <v>700</v>
      </c>
      <c r="F7" s="1735" t="str">
        <f>FIXED(G84,1)&amp;" units of alcohol (UK)"</f>
        <v>3.0 units of alcohol (UK)</v>
      </c>
      <c r="G7" s="1735"/>
      <c r="H7" s="1735"/>
      <c r="I7" s="1735"/>
      <c r="J7" s="1735"/>
      <c r="K7" s="1735"/>
      <c r="L7" s="1768" t="s">
        <v>702</v>
      </c>
      <c r="M7" s="1768"/>
      <c r="N7" s="1768"/>
      <c r="O7" s="1768"/>
      <c r="P7" s="1768"/>
      <c r="Q7" s="1768"/>
      <c r="R7" s="1768"/>
      <c r="S7" s="1768"/>
      <c r="T7" s="1768"/>
      <c r="U7" s="1768"/>
      <c r="V7" s="552"/>
    </row>
    <row r="8" spans="1:22" ht="9" customHeight="1">
      <c r="A8" s="552"/>
      <c r="B8" s="552"/>
      <c r="C8" s="552"/>
      <c r="D8" s="552"/>
      <c r="E8" s="552"/>
      <c r="F8" s="558"/>
      <c r="G8" s="558"/>
      <c r="H8" s="552"/>
      <c r="I8" s="559"/>
      <c r="J8" s="559"/>
      <c r="K8" s="552"/>
      <c r="L8" s="552"/>
      <c r="M8" s="558"/>
      <c r="N8" s="558"/>
      <c r="O8" s="552"/>
      <c r="P8" s="560"/>
      <c r="Q8" s="560"/>
      <c r="R8" s="670"/>
      <c r="S8" s="558"/>
      <c r="T8" s="558"/>
      <c r="U8" s="558"/>
      <c r="V8" s="552"/>
    </row>
    <row r="9" spans="1:22" ht="13.5" customHeight="1">
      <c r="A9" s="1734" t="s">
        <v>858</v>
      </c>
      <c r="B9" s="1734"/>
      <c r="C9" s="1734"/>
      <c r="D9" s="1734"/>
      <c r="E9" s="1734"/>
      <c r="F9" s="1734"/>
      <c r="G9" s="1734"/>
      <c r="H9" s="1734"/>
      <c r="I9" s="1734"/>
      <c r="J9" s="1734"/>
      <c r="K9" s="1734"/>
      <c r="L9" s="1734"/>
      <c r="M9" s="1734"/>
      <c r="N9" s="1734"/>
      <c r="O9" s="1734"/>
      <c r="P9" s="1734"/>
      <c r="Q9" s="1734"/>
      <c r="R9" s="1734"/>
      <c r="S9" s="1734"/>
      <c r="T9" s="1734"/>
      <c r="U9" s="1734"/>
      <c r="V9" s="552"/>
    </row>
    <row r="10" spans="1:22" ht="13.5" customHeight="1">
      <c r="A10" s="1735" t="s">
        <v>703</v>
      </c>
      <c r="B10" s="1735"/>
      <c r="C10" s="1735"/>
      <c r="D10" s="1735"/>
      <c r="E10" s="1735"/>
      <c r="F10" s="1735"/>
      <c r="G10" s="1735"/>
      <c r="H10" s="1735"/>
      <c r="I10" s="1735"/>
      <c r="J10" s="1735"/>
      <c r="K10" s="1735"/>
      <c r="L10" s="1735"/>
      <c r="M10" s="1735"/>
      <c r="N10" s="1735"/>
      <c r="O10" s="1735"/>
      <c r="P10" s="1735"/>
      <c r="Q10" s="1735"/>
      <c r="R10" s="1735"/>
      <c r="S10" s="1735"/>
      <c r="T10" s="1735"/>
      <c r="U10" s="1735"/>
      <c r="V10" s="552"/>
    </row>
    <row r="11" spans="1:22" ht="9.75" customHeight="1">
      <c r="A11" s="561"/>
      <c r="B11" s="561"/>
      <c r="C11" s="561"/>
      <c r="D11" s="561"/>
      <c r="E11" s="561"/>
      <c r="F11" s="561"/>
      <c r="G11" s="561"/>
      <c r="H11" s="561"/>
      <c r="I11" s="561"/>
      <c r="J11" s="561"/>
      <c r="K11" s="561"/>
      <c r="L11" s="561"/>
      <c r="M11" s="561"/>
      <c r="N11" s="561"/>
      <c r="O11" s="561"/>
      <c r="P11" s="561"/>
      <c r="Q11" s="561"/>
      <c r="R11" s="561"/>
      <c r="S11" s="561"/>
      <c r="T11" s="561"/>
      <c r="U11" s="561"/>
      <c r="V11" s="562"/>
    </row>
    <row r="12" spans="1:22" ht="13.5" customHeight="1">
      <c r="A12" s="1736" t="s">
        <v>704</v>
      </c>
      <c r="B12" s="1737"/>
      <c r="C12" s="563" t="s">
        <v>705</v>
      </c>
      <c r="D12" s="564" t="s">
        <v>89</v>
      </c>
      <c r="E12" s="565" t="s">
        <v>948</v>
      </c>
      <c r="F12" s="565" t="s">
        <v>949</v>
      </c>
      <c r="G12" s="566"/>
      <c r="H12" s="566"/>
      <c r="I12" s="566"/>
      <c r="J12" s="1738"/>
      <c r="K12" s="1740" t="s">
        <v>706</v>
      </c>
      <c r="L12" s="567" t="s">
        <v>705</v>
      </c>
      <c r="M12" s="565" t="s">
        <v>948</v>
      </c>
      <c r="N12" s="565" t="s">
        <v>949</v>
      </c>
      <c r="O12" s="568"/>
      <c r="P12" s="569"/>
      <c r="Q12" s="569"/>
      <c r="R12" s="1742" t="s">
        <v>707</v>
      </c>
      <c r="S12" s="1743"/>
      <c r="T12" s="1743"/>
      <c r="U12" s="1744"/>
      <c r="V12" s="562"/>
    </row>
    <row r="13" spans="1:22" ht="13.9" customHeight="1">
      <c r="A13" s="1748" t="s">
        <v>890</v>
      </c>
      <c r="B13" s="1748"/>
      <c r="C13" s="570" t="s">
        <v>708</v>
      </c>
      <c r="D13" s="571"/>
      <c r="E13" s="572" t="s">
        <v>709</v>
      </c>
      <c r="F13" s="572" t="s">
        <v>709</v>
      </c>
      <c r="G13" s="573" t="s">
        <v>643</v>
      </c>
      <c r="H13" s="573" t="s">
        <v>710</v>
      </c>
      <c r="I13" s="573" t="s">
        <v>711</v>
      </c>
      <c r="J13" s="1739"/>
      <c r="K13" s="1741"/>
      <c r="L13" s="574" t="s">
        <v>708</v>
      </c>
      <c r="M13" s="572" t="s">
        <v>709</v>
      </c>
      <c r="N13" s="572" t="s">
        <v>709</v>
      </c>
      <c r="O13" s="575" t="s">
        <v>710</v>
      </c>
      <c r="P13" s="575" t="s">
        <v>711</v>
      </c>
      <c r="Q13" s="576"/>
      <c r="R13" s="1745"/>
      <c r="S13" s="1746"/>
      <c r="T13" s="1746"/>
      <c r="U13" s="1747"/>
      <c r="V13" s="562"/>
    </row>
    <row r="14" spans="1:22" ht="13.5" customHeight="1">
      <c r="A14" s="577">
        <v>1</v>
      </c>
      <c r="B14" s="578" t="s">
        <v>712</v>
      </c>
      <c r="C14" s="579">
        <v>1</v>
      </c>
      <c r="D14" s="580">
        <v>40</v>
      </c>
      <c r="E14" s="580">
        <v>220</v>
      </c>
      <c r="F14" s="580">
        <v>0</v>
      </c>
      <c r="G14" s="581">
        <f t="shared" ref="G14:G78" si="0">C14*D14/40</f>
        <v>1</v>
      </c>
      <c r="H14" s="581">
        <f t="shared" ref="H14:I29" si="1">$C14*E14*25/100</f>
        <v>55</v>
      </c>
      <c r="I14" s="581">
        <f t="shared" si="1"/>
        <v>0</v>
      </c>
      <c r="J14" s="1749"/>
      <c r="K14" s="578" t="s">
        <v>713</v>
      </c>
      <c r="L14" s="582"/>
      <c r="M14" s="580">
        <v>49</v>
      </c>
      <c r="N14" s="580">
        <v>12.2</v>
      </c>
      <c r="O14" s="890">
        <f>$L14*M14*25/100</f>
        <v>0</v>
      </c>
      <c r="P14" s="890">
        <f>$L14*N14*25/100</f>
        <v>0</v>
      </c>
      <c r="Q14" s="891"/>
      <c r="R14" s="1751"/>
      <c r="S14" s="1752"/>
      <c r="T14" s="1752"/>
      <c r="U14" s="1753"/>
      <c r="V14" s="562"/>
    </row>
    <row r="15" spans="1:22" ht="13.5" customHeight="1">
      <c r="A15" s="577">
        <v>2</v>
      </c>
      <c r="B15" s="578"/>
      <c r="C15" s="579"/>
      <c r="D15" s="580"/>
      <c r="E15" s="580"/>
      <c r="F15" s="580"/>
      <c r="G15" s="581">
        <f t="shared" si="0"/>
        <v>0</v>
      </c>
      <c r="H15" s="581">
        <f t="shared" si="1"/>
        <v>0</v>
      </c>
      <c r="I15" s="581">
        <f t="shared" si="1"/>
        <v>0</v>
      </c>
      <c r="J15" s="1749"/>
      <c r="K15" s="578" t="s">
        <v>713</v>
      </c>
      <c r="L15" s="582"/>
      <c r="M15" s="580">
        <v>49</v>
      </c>
      <c r="N15" s="580">
        <v>12.2</v>
      </c>
      <c r="O15" s="890">
        <f t="shared" ref="O15:P34" si="2">$L15*M15*25/100</f>
        <v>0</v>
      </c>
      <c r="P15" s="890">
        <f t="shared" si="2"/>
        <v>0</v>
      </c>
      <c r="Q15" s="891"/>
      <c r="R15" s="1754"/>
      <c r="S15" s="1752"/>
      <c r="T15" s="1752"/>
      <c r="U15" s="1753"/>
      <c r="V15" s="562"/>
    </row>
    <row r="16" spans="1:22" ht="13.5" customHeight="1">
      <c r="A16" s="577">
        <v>3</v>
      </c>
      <c r="B16" s="584" t="s">
        <v>714</v>
      </c>
      <c r="C16" s="582"/>
      <c r="D16" s="580">
        <v>68</v>
      </c>
      <c r="E16" s="580">
        <v>400</v>
      </c>
      <c r="F16" s="580">
        <v>0</v>
      </c>
      <c r="G16" s="581">
        <f t="shared" si="0"/>
        <v>0</v>
      </c>
      <c r="H16" s="581">
        <f t="shared" si="1"/>
        <v>0</v>
      </c>
      <c r="I16" s="581">
        <f t="shared" si="1"/>
        <v>0</v>
      </c>
      <c r="J16" s="1749"/>
      <c r="K16" s="578" t="s">
        <v>715</v>
      </c>
      <c r="L16" s="582"/>
      <c r="M16" s="580">
        <v>24</v>
      </c>
      <c r="N16" s="580">
        <v>4.9000000000000004</v>
      </c>
      <c r="O16" s="890">
        <f t="shared" si="2"/>
        <v>0</v>
      </c>
      <c r="P16" s="890">
        <f t="shared" si="2"/>
        <v>0</v>
      </c>
      <c r="Q16" s="891"/>
      <c r="R16" s="1754"/>
      <c r="S16" s="1752"/>
      <c r="T16" s="1752"/>
      <c r="U16" s="1753"/>
      <c r="V16" s="562"/>
    </row>
    <row r="17" spans="1:22" ht="13.5" customHeight="1">
      <c r="A17" s="577">
        <v>4</v>
      </c>
      <c r="B17" s="584" t="s">
        <v>716</v>
      </c>
      <c r="C17" s="582"/>
      <c r="D17" s="580">
        <v>18</v>
      </c>
      <c r="E17" s="580">
        <v>260</v>
      </c>
      <c r="F17" s="580">
        <v>28</v>
      </c>
      <c r="G17" s="581">
        <f t="shared" si="0"/>
        <v>0</v>
      </c>
      <c r="H17" s="581">
        <f t="shared" si="1"/>
        <v>0</v>
      </c>
      <c r="I17" s="581">
        <f t="shared" si="1"/>
        <v>0</v>
      </c>
      <c r="J17" s="1749"/>
      <c r="K17" s="584"/>
      <c r="L17" s="582"/>
      <c r="M17" s="580"/>
      <c r="N17" s="580"/>
      <c r="O17" s="890">
        <f t="shared" si="2"/>
        <v>0</v>
      </c>
      <c r="P17" s="890">
        <f t="shared" si="2"/>
        <v>0</v>
      </c>
      <c r="Q17" s="891"/>
      <c r="R17" s="1754"/>
      <c r="S17" s="1752"/>
      <c r="T17" s="1752"/>
      <c r="U17" s="1753"/>
      <c r="V17" s="562"/>
    </row>
    <row r="18" spans="1:22" ht="13.5" customHeight="1">
      <c r="A18" s="577">
        <v>5</v>
      </c>
      <c r="B18" s="584" t="s">
        <v>717</v>
      </c>
      <c r="C18" s="582"/>
      <c r="D18" s="580">
        <v>17</v>
      </c>
      <c r="E18" s="580">
        <v>380</v>
      </c>
      <c r="F18" s="580">
        <v>43.2</v>
      </c>
      <c r="G18" s="581">
        <f t="shared" si="0"/>
        <v>0</v>
      </c>
      <c r="H18" s="581">
        <f t="shared" si="1"/>
        <v>0</v>
      </c>
      <c r="I18" s="581">
        <f t="shared" si="1"/>
        <v>0</v>
      </c>
      <c r="J18" s="1749"/>
      <c r="K18" s="578"/>
      <c r="L18" s="582"/>
      <c r="M18" s="580"/>
      <c r="N18" s="580"/>
      <c r="O18" s="890">
        <f t="shared" si="2"/>
        <v>0</v>
      </c>
      <c r="P18" s="890">
        <f t="shared" si="2"/>
        <v>0</v>
      </c>
      <c r="Q18" s="891"/>
      <c r="R18" s="1754"/>
      <c r="S18" s="1752"/>
      <c r="T18" s="1752"/>
      <c r="U18" s="1753"/>
      <c r="V18" s="562"/>
    </row>
    <row r="19" spans="1:22" ht="13.5" customHeight="1">
      <c r="A19" s="577">
        <v>6</v>
      </c>
      <c r="B19" s="584" t="s">
        <v>718</v>
      </c>
      <c r="C19" s="582"/>
      <c r="D19" s="580">
        <v>45</v>
      </c>
      <c r="E19" s="580">
        <v>64</v>
      </c>
      <c r="F19" s="580">
        <v>44</v>
      </c>
      <c r="G19" s="581">
        <f t="shared" si="0"/>
        <v>0</v>
      </c>
      <c r="H19" s="581">
        <f t="shared" si="1"/>
        <v>0</v>
      </c>
      <c r="I19" s="581">
        <f t="shared" si="1"/>
        <v>0</v>
      </c>
      <c r="J19" s="1749"/>
      <c r="K19" s="578"/>
      <c r="L19" s="582"/>
      <c r="M19" s="580"/>
      <c r="N19" s="580"/>
      <c r="O19" s="890">
        <f t="shared" si="2"/>
        <v>0</v>
      </c>
      <c r="P19" s="890">
        <f t="shared" si="2"/>
        <v>0</v>
      </c>
      <c r="Q19" s="891"/>
      <c r="R19" s="1754"/>
      <c r="S19" s="1752"/>
      <c r="T19" s="1752"/>
      <c r="U19" s="1753"/>
      <c r="V19" s="562"/>
    </row>
    <row r="20" spans="1:22" ht="13.5" customHeight="1">
      <c r="A20" s="577">
        <v>7</v>
      </c>
      <c r="B20" s="585" t="s">
        <v>719</v>
      </c>
      <c r="C20" s="582"/>
      <c r="D20" s="580">
        <v>11</v>
      </c>
      <c r="E20" s="580">
        <v>206</v>
      </c>
      <c r="F20" s="580">
        <v>0</v>
      </c>
      <c r="G20" s="581">
        <f t="shared" si="0"/>
        <v>0</v>
      </c>
      <c r="H20" s="581">
        <f t="shared" si="1"/>
        <v>0</v>
      </c>
      <c r="I20" s="581">
        <f t="shared" si="1"/>
        <v>0</v>
      </c>
      <c r="J20" s="1749"/>
      <c r="K20" s="584" t="s">
        <v>720</v>
      </c>
      <c r="L20" s="582"/>
      <c r="M20" s="580">
        <v>83</v>
      </c>
      <c r="N20" s="580">
        <v>1.7</v>
      </c>
      <c r="O20" s="890">
        <f t="shared" si="2"/>
        <v>0</v>
      </c>
      <c r="P20" s="890">
        <f t="shared" si="2"/>
        <v>0</v>
      </c>
      <c r="Q20" s="891"/>
      <c r="R20" s="1754"/>
      <c r="S20" s="1752"/>
      <c r="T20" s="1752"/>
      <c r="U20" s="1753"/>
      <c r="V20" s="562"/>
    </row>
    <row r="21" spans="1:22" ht="13.5" customHeight="1">
      <c r="A21" s="577">
        <v>8</v>
      </c>
      <c r="B21" s="584"/>
      <c r="C21" s="582"/>
      <c r="D21" s="580"/>
      <c r="E21" s="580"/>
      <c r="F21" s="580"/>
      <c r="G21" s="581">
        <f t="shared" si="0"/>
        <v>0</v>
      </c>
      <c r="H21" s="581">
        <f t="shared" si="1"/>
        <v>0</v>
      </c>
      <c r="I21" s="581">
        <f t="shared" si="1"/>
        <v>0</v>
      </c>
      <c r="J21" s="1749"/>
      <c r="K21" s="578" t="s">
        <v>721</v>
      </c>
      <c r="L21" s="582"/>
      <c r="M21" s="580">
        <v>40</v>
      </c>
      <c r="N21" s="580">
        <v>11.3</v>
      </c>
      <c r="O21" s="890">
        <f t="shared" si="2"/>
        <v>0</v>
      </c>
      <c r="P21" s="890">
        <f t="shared" si="2"/>
        <v>0</v>
      </c>
      <c r="Q21" s="891"/>
      <c r="R21" s="1754"/>
      <c r="S21" s="1752"/>
      <c r="T21" s="1752"/>
      <c r="U21" s="1753"/>
      <c r="V21" s="562"/>
    </row>
    <row r="22" spans="1:22" ht="13.5" customHeight="1">
      <c r="A22" s="577">
        <v>9</v>
      </c>
      <c r="B22" s="584" t="s">
        <v>722</v>
      </c>
      <c r="C22" s="582"/>
      <c r="D22" s="580">
        <v>40</v>
      </c>
      <c r="E22" s="580">
        <v>220</v>
      </c>
      <c r="F22" s="580">
        <v>0</v>
      </c>
      <c r="G22" s="581">
        <f t="shared" si="0"/>
        <v>0</v>
      </c>
      <c r="H22" s="581">
        <f t="shared" si="1"/>
        <v>0</v>
      </c>
      <c r="I22" s="581">
        <f t="shared" si="1"/>
        <v>0</v>
      </c>
      <c r="J22" s="1749"/>
      <c r="K22" s="578" t="s">
        <v>723</v>
      </c>
      <c r="L22" s="579"/>
      <c r="M22" s="580">
        <v>58</v>
      </c>
      <c r="N22" s="580">
        <v>14.5</v>
      </c>
      <c r="O22" s="890">
        <f t="shared" si="2"/>
        <v>0</v>
      </c>
      <c r="P22" s="890">
        <f t="shared" si="2"/>
        <v>0</v>
      </c>
      <c r="Q22" s="891"/>
      <c r="R22" s="1754"/>
      <c r="S22" s="1752"/>
      <c r="T22" s="1752"/>
      <c r="U22" s="1753"/>
      <c r="V22" s="562"/>
    </row>
    <row r="23" spans="1:22" ht="13.5" customHeight="1">
      <c r="A23" s="577">
        <v>10</v>
      </c>
      <c r="B23" s="584" t="s">
        <v>724</v>
      </c>
      <c r="C23" s="582"/>
      <c r="D23" s="580">
        <v>40</v>
      </c>
      <c r="E23" s="580">
        <v>360</v>
      </c>
      <c r="F23" s="580">
        <v>20</v>
      </c>
      <c r="G23" s="581">
        <f t="shared" si="0"/>
        <v>0</v>
      </c>
      <c r="H23" s="581">
        <f t="shared" si="1"/>
        <v>0</v>
      </c>
      <c r="I23" s="581">
        <f t="shared" si="1"/>
        <v>0</v>
      </c>
      <c r="J23" s="1749"/>
      <c r="K23" s="578" t="s">
        <v>725</v>
      </c>
      <c r="L23" s="579"/>
      <c r="M23" s="580">
        <v>58</v>
      </c>
      <c r="N23" s="580">
        <v>14.4</v>
      </c>
      <c r="O23" s="890">
        <f t="shared" si="2"/>
        <v>0</v>
      </c>
      <c r="P23" s="890">
        <f t="shared" si="2"/>
        <v>0</v>
      </c>
      <c r="Q23" s="891"/>
      <c r="R23" s="1754"/>
      <c r="S23" s="1752"/>
      <c r="T23" s="1752"/>
      <c r="U23" s="1753"/>
      <c r="V23" s="562"/>
    </row>
    <row r="24" spans="1:22" ht="13.5" customHeight="1">
      <c r="A24" s="577">
        <v>11</v>
      </c>
      <c r="B24" s="578" t="s">
        <v>726</v>
      </c>
      <c r="C24" s="582"/>
      <c r="D24" s="580">
        <v>40</v>
      </c>
      <c r="E24" s="580">
        <v>220</v>
      </c>
      <c r="F24" s="580">
        <v>0</v>
      </c>
      <c r="G24" s="581">
        <f t="shared" si="0"/>
        <v>0</v>
      </c>
      <c r="H24" s="581">
        <f t="shared" si="1"/>
        <v>0</v>
      </c>
      <c r="I24" s="581">
        <f t="shared" si="1"/>
        <v>0</v>
      </c>
      <c r="J24" s="1749"/>
      <c r="K24" s="584" t="s">
        <v>727</v>
      </c>
      <c r="L24" s="582"/>
      <c r="M24" s="580">
        <v>194</v>
      </c>
      <c r="N24" s="580">
        <v>19.100000000000001</v>
      </c>
      <c r="O24" s="890">
        <f t="shared" si="2"/>
        <v>0</v>
      </c>
      <c r="P24" s="890">
        <f t="shared" si="2"/>
        <v>0</v>
      </c>
      <c r="Q24" s="891"/>
      <c r="R24" s="1754"/>
      <c r="S24" s="1752"/>
      <c r="T24" s="1752"/>
      <c r="U24" s="1753"/>
      <c r="V24" s="562"/>
    </row>
    <row r="25" spans="1:22" ht="13.5" customHeight="1">
      <c r="A25" s="577">
        <v>12</v>
      </c>
      <c r="B25" s="584" t="s">
        <v>728</v>
      </c>
      <c r="C25" s="582"/>
      <c r="D25" s="580">
        <v>40</v>
      </c>
      <c r="E25" s="580">
        <v>220</v>
      </c>
      <c r="F25" s="580">
        <v>0</v>
      </c>
      <c r="G25" s="581">
        <f t="shared" si="0"/>
        <v>0</v>
      </c>
      <c r="H25" s="581">
        <f t="shared" si="1"/>
        <v>0</v>
      </c>
      <c r="I25" s="581">
        <f t="shared" si="1"/>
        <v>0</v>
      </c>
      <c r="J25" s="1749"/>
      <c r="K25" s="584"/>
      <c r="L25" s="582"/>
      <c r="M25" s="580"/>
      <c r="N25" s="580"/>
      <c r="O25" s="890">
        <f t="shared" si="2"/>
        <v>0</v>
      </c>
      <c r="P25" s="890">
        <f t="shared" si="2"/>
        <v>0</v>
      </c>
      <c r="Q25" s="891"/>
      <c r="R25" s="1754"/>
      <c r="S25" s="1752"/>
      <c r="T25" s="1752"/>
      <c r="U25" s="1753"/>
      <c r="V25" s="562"/>
    </row>
    <row r="26" spans="1:22" ht="13.5" customHeight="1">
      <c r="A26" s="577">
        <v>13</v>
      </c>
      <c r="B26" s="584"/>
      <c r="C26" s="582"/>
      <c r="D26" s="580"/>
      <c r="E26" s="580"/>
      <c r="F26" s="580"/>
      <c r="G26" s="581">
        <f t="shared" si="0"/>
        <v>0</v>
      </c>
      <c r="H26" s="581">
        <f t="shared" si="1"/>
        <v>0</v>
      </c>
      <c r="I26" s="581">
        <f t="shared" si="1"/>
        <v>0</v>
      </c>
      <c r="J26" s="1749"/>
      <c r="K26" s="584"/>
      <c r="L26" s="582"/>
      <c r="M26" s="580"/>
      <c r="N26" s="580"/>
      <c r="O26" s="890">
        <f t="shared" si="2"/>
        <v>0</v>
      </c>
      <c r="P26" s="890">
        <f t="shared" si="2"/>
        <v>0</v>
      </c>
      <c r="Q26" s="891"/>
      <c r="R26" s="1754"/>
      <c r="S26" s="1752"/>
      <c r="T26" s="1752"/>
      <c r="U26" s="1753"/>
      <c r="V26" s="562"/>
    </row>
    <row r="27" spans="1:22" ht="13.5" customHeight="1">
      <c r="A27" s="577">
        <v>14</v>
      </c>
      <c r="B27" s="584"/>
      <c r="C27" s="582"/>
      <c r="D27" s="580"/>
      <c r="E27" s="580"/>
      <c r="F27" s="580"/>
      <c r="G27" s="581">
        <f t="shared" si="0"/>
        <v>0</v>
      </c>
      <c r="H27" s="581">
        <f t="shared" si="1"/>
        <v>0</v>
      </c>
      <c r="I27" s="581">
        <f t="shared" si="1"/>
        <v>0</v>
      </c>
      <c r="J27" s="1749"/>
      <c r="K27" s="584" t="s">
        <v>729</v>
      </c>
      <c r="L27" s="582"/>
      <c r="M27" s="580">
        <v>450</v>
      </c>
      <c r="N27" s="580">
        <v>48</v>
      </c>
      <c r="O27" s="890">
        <f t="shared" si="2"/>
        <v>0</v>
      </c>
      <c r="P27" s="890">
        <f t="shared" si="2"/>
        <v>0</v>
      </c>
      <c r="Q27" s="891"/>
      <c r="R27" s="1754"/>
      <c r="S27" s="1752"/>
      <c r="T27" s="1752"/>
      <c r="U27" s="1753"/>
      <c r="V27" s="562"/>
    </row>
    <row r="28" spans="1:22" ht="13.5" customHeight="1">
      <c r="A28" s="577">
        <v>15</v>
      </c>
      <c r="B28" s="584" t="s">
        <v>730</v>
      </c>
      <c r="C28" s="582"/>
      <c r="D28" s="580">
        <v>40</v>
      </c>
      <c r="E28" s="580">
        <v>220</v>
      </c>
      <c r="F28" s="580">
        <v>0</v>
      </c>
      <c r="G28" s="581">
        <f t="shared" si="0"/>
        <v>0</v>
      </c>
      <c r="H28" s="581">
        <f t="shared" si="1"/>
        <v>0</v>
      </c>
      <c r="I28" s="581">
        <f t="shared" si="1"/>
        <v>0</v>
      </c>
      <c r="J28" s="1749"/>
      <c r="K28" s="584"/>
      <c r="L28" s="582"/>
      <c r="M28" s="580"/>
      <c r="N28" s="580"/>
      <c r="O28" s="890">
        <f t="shared" si="2"/>
        <v>0</v>
      </c>
      <c r="P28" s="890">
        <f t="shared" si="2"/>
        <v>0</v>
      </c>
      <c r="Q28" s="891"/>
      <c r="R28" s="1754"/>
      <c r="S28" s="1752"/>
      <c r="T28" s="1752"/>
      <c r="U28" s="1753"/>
      <c r="V28" s="562"/>
    </row>
    <row r="29" spans="1:22" ht="13.5" customHeight="1">
      <c r="A29" s="577">
        <v>16</v>
      </c>
      <c r="B29" s="584" t="s">
        <v>731</v>
      </c>
      <c r="C29" s="582"/>
      <c r="D29" s="580">
        <v>25</v>
      </c>
      <c r="E29" s="580">
        <v>320</v>
      </c>
      <c r="F29" s="580">
        <v>32</v>
      </c>
      <c r="G29" s="581">
        <f t="shared" si="0"/>
        <v>0</v>
      </c>
      <c r="H29" s="581">
        <f t="shared" si="1"/>
        <v>0</v>
      </c>
      <c r="I29" s="581">
        <f t="shared" si="1"/>
        <v>0</v>
      </c>
      <c r="J29" s="1749"/>
      <c r="K29" s="584"/>
      <c r="L29" s="582"/>
      <c r="M29" s="580"/>
      <c r="N29" s="580"/>
      <c r="O29" s="890">
        <f t="shared" si="2"/>
        <v>0</v>
      </c>
      <c r="P29" s="890">
        <f t="shared" si="2"/>
        <v>0</v>
      </c>
      <c r="Q29" s="891"/>
      <c r="R29" s="1754"/>
      <c r="S29" s="1752"/>
      <c r="T29" s="1752"/>
      <c r="U29" s="1753"/>
      <c r="V29" s="562"/>
    </row>
    <row r="30" spans="1:22" ht="13.5" customHeight="1">
      <c r="A30" s="577">
        <v>17</v>
      </c>
      <c r="B30" s="584" t="s">
        <v>732</v>
      </c>
      <c r="C30" s="582"/>
      <c r="D30" s="580">
        <v>40</v>
      </c>
      <c r="E30" s="580">
        <v>220</v>
      </c>
      <c r="F30" s="580">
        <v>0</v>
      </c>
      <c r="G30" s="581">
        <f t="shared" si="0"/>
        <v>0</v>
      </c>
      <c r="H30" s="581">
        <f t="shared" ref="H30:I34" si="3">$C30*E30*25/100</f>
        <v>0</v>
      </c>
      <c r="I30" s="581">
        <f t="shared" si="3"/>
        <v>0</v>
      </c>
      <c r="J30" s="1749"/>
      <c r="K30" s="584" t="s">
        <v>733</v>
      </c>
      <c r="L30" s="582"/>
      <c r="M30" s="580">
        <v>46</v>
      </c>
      <c r="N30" s="580">
        <v>10</v>
      </c>
      <c r="O30" s="890">
        <f t="shared" si="2"/>
        <v>0</v>
      </c>
      <c r="P30" s="890">
        <f t="shared" si="2"/>
        <v>0</v>
      </c>
      <c r="Q30" s="891"/>
      <c r="R30" s="1754"/>
      <c r="S30" s="1752"/>
      <c r="T30" s="1752"/>
      <c r="U30" s="1753"/>
      <c r="V30" s="562"/>
    </row>
    <row r="31" spans="1:22" ht="13.5" customHeight="1">
      <c r="A31" s="577">
        <v>18</v>
      </c>
      <c r="B31" s="584" t="s">
        <v>734</v>
      </c>
      <c r="C31" s="582"/>
      <c r="D31" s="580">
        <v>40</v>
      </c>
      <c r="E31" s="580">
        <v>216</v>
      </c>
      <c r="F31" s="580">
        <v>0</v>
      </c>
      <c r="G31" s="581">
        <f t="shared" si="0"/>
        <v>0</v>
      </c>
      <c r="H31" s="581">
        <f t="shared" si="3"/>
        <v>0</v>
      </c>
      <c r="I31" s="581">
        <f t="shared" si="3"/>
        <v>0</v>
      </c>
      <c r="J31" s="1749"/>
      <c r="K31" s="584"/>
      <c r="L31" s="582"/>
      <c r="M31" s="580"/>
      <c r="N31" s="580"/>
      <c r="O31" s="890">
        <f t="shared" si="2"/>
        <v>0</v>
      </c>
      <c r="P31" s="890">
        <f t="shared" si="2"/>
        <v>0</v>
      </c>
      <c r="Q31" s="891"/>
      <c r="R31" s="1754"/>
      <c r="S31" s="1752"/>
      <c r="T31" s="1752"/>
      <c r="U31" s="1753"/>
      <c r="V31" s="562"/>
    </row>
    <row r="32" spans="1:22" ht="13.5" customHeight="1">
      <c r="A32" s="577">
        <v>19</v>
      </c>
      <c r="B32" s="584" t="s">
        <v>735</v>
      </c>
      <c r="C32" s="582"/>
      <c r="D32" s="580">
        <v>40</v>
      </c>
      <c r="E32" s="580">
        <v>400</v>
      </c>
      <c r="F32" s="580">
        <v>40</v>
      </c>
      <c r="G32" s="581">
        <f t="shared" si="0"/>
        <v>0</v>
      </c>
      <c r="H32" s="581">
        <f t="shared" si="3"/>
        <v>0</v>
      </c>
      <c r="I32" s="581">
        <f t="shared" si="3"/>
        <v>0</v>
      </c>
      <c r="J32" s="1749"/>
      <c r="K32" s="578"/>
      <c r="L32" s="579"/>
      <c r="M32" s="580"/>
      <c r="N32" s="580"/>
      <c r="O32" s="890">
        <f t="shared" si="2"/>
        <v>0</v>
      </c>
      <c r="P32" s="890">
        <f t="shared" si="2"/>
        <v>0</v>
      </c>
      <c r="Q32" s="891"/>
      <c r="R32" s="1754"/>
      <c r="S32" s="1752"/>
      <c r="T32" s="1752"/>
      <c r="U32" s="1753"/>
      <c r="V32" s="562"/>
    </row>
    <row r="33" spans="1:22" ht="13.5" customHeight="1">
      <c r="A33" s="577">
        <v>20</v>
      </c>
      <c r="B33" s="584" t="s">
        <v>736</v>
      </c>
      <c r="C33" s="582"/>
      <c r="D33" s="580">
        <v>28.000000000000004</v>
      </c>
      <c r="E33" s="580">
        <v>392</v>
      </c>
      <c r="F33" s="580">
        <v>43.2</v>
      </c>
      <c r="G33" s="581">
        <f t="shared" si="0"/>
        <v>0</v>
      </c>
      <c r="H33" s="581">
        <f t="shared" si="3"/>
        <v>0</v>
      </c>
      <c r="I33" s="581">
        <f t="shared" si="3"/>
        <v>0</v>
      </c>
      <c r="J33" s="1749"/>
      <c r="K33" s="584" t="s">
        <v>737</v>
      </c>
      <c r="L33" s="582"/>
      <c r="M33" s="580">
        <v>38</v>
      </c>
      <c r="N33" s="580">
        <v>10.5</v>
      </c>
      <c r="O33" s="890">
        <f t="shared" si="2"/>
        <v>0</v>
      </c>
      <c r="P33" s="890">
        <f t="shared" si="2"/>
        <v>0</v>
      </c>
      <c r="Q33" s="891"/>
      <c r="R33" s="1754"/>
      <c r="S33" s="1752"/>
      <c r="T33" s="1752"/>
      <c r="U33" s="1753"/>
      <c r="V33" s="562"/>
    </row>
    <row r="34" spans="1:22" ht="13.5" customHeight="1">
      <c r="A34" s="577">
        <v>21</v>
      </c>
      <c r="B34" s="584" t="s">
        <v>738</v>
      </c>
      <c r="C34" s="582"/>
      <c r="D34" s="580">
        <v>30</v>
      </c>
      <c r="E34" s="580">
        <v>400</v>
      </c>
      <c r="F34" s="580">
        <v>44</v>
      </c>
      <c r="G34" s="581">
        <f t="shared" si="0"/>
        <v>0</v>
      </c>
      <c r="H34" s="581">
        <f t="shared" si="3"/>
        <v>0</v>
      </c>
      <c r="I34" s="581">
        <f t="shared" si="3"/>
        <v>0</v>
      </c>
      <c r="J34" s="1749"/>
      <c r="K34" s="584"/>
      <c r="L34" s="582"/>
      <c r="M34" s="580"/>
      <c r="N34" s="580"/>
      <c r="O34" s="890">
        <f t="shared" si="2"/>
        <v>0</v>
      </c>
      <c r="P34" s="890">
        <f t="shared" si="2"/>
        <v>0</v>
      </c>
      <c r="Q34" s="891"/>
      <c r="R34" s="1754"/>
      <c r="S34" s="1752"/>
      <c r="T34" s="1752"/>
      <c r="U34" s="1753"/>
      <c r="V34" s="562"/>
    </row>
    <row r="35" spans="1:22" ht="13.5" customHeight="1">
      <c r="A35" s="577">
        <v>22</v>
      </c>
      <c r="B35" s="584"/>
      <c r="C35" s="582"/>
      <c r="D35" s="580"/>
      <c r="E35" s="580">
        <v>0</v>
      </c>
      <c r="F35" s="580">
        <v>0</v>
      </c>
      <c r="G35" s="581">
        <f t="shared" si="0"/>
        <v>0</v>
      </c>
      <c r="H35" s="581">
        <f>$C35*E35*25/100</f>
        <v>0</v>
      </c>
      <c r="I35" s="581">
        <f>$C35*F35*25/100</f>
        <v>0</v>
      </c>
      <c r="J35" s="1749"/>
      <c r="K35" s="578" t="s">
        <v>739</v>
      </c>
      <c r="L35" s="579"/>
      <c r="M35" s="580">
        <v>65</v>
      </c>
      <c r="N35" s="580">
        <v>15.6</v>
      </c>
      <c r="O35" s="890">
        <f t="shared" ref="O35:P73" si="4">$L35*M35*25/100</f>
        <v>0</v>
      </c>
      <c r="P35" s="890">
        <f t="shared" si="4"/>
        <v>0</v>
      </c>
      <c r="Q35" s="891"/>
      <c r="R35" s="1754"/>
      <c r="S35" s="1752"/>
      <c r="T35" s="1752"/>
      <c r="U35" s="1753"/>
      <c r="V35" s="562"/>
    </row>
    <row r="36" spans="1:22" ht="13.5" customHeight="1">
      <c r="A36" s="577">
        <v>23</v>
      </c>
      <c r="B36" s="584" t="s">
        <v>740</v>
      </c>
      <c r="C36" s="582"/>
      <c r="D36" s="580">
        <v>20</v>
      </c>
      <c r="E36" s="580">
        <v>280</v>
      </c>
      <c r="F36" s="580">
        <v>28</v>
      </c>
      <c r="G36" s="581">
        <f t="shared" si="0"/>
        <v>0</v>
      </c>
      <c r="H36" s="581">
        <f t="shared" ref="H36:I81" si="5">$C36*E36*25/100</f>
        <v>0</v>
      </c>
      <c r="I36" s="581">
        <f t="shared" si="5"/>
        <v>0</v>
      </c>
      <c r="J36" s="1749"/>
      <c r="K36" s="578" t="s">
        <v>741</v>
      </c>
      <c r="L36" s="579"/>
      <c r="M36" s="580">
        <v>65</v>
      </c>
      <c r="N36" s="580">
        <v>15.6</v>
      </c>
      <c r="O36" s="890">
        <f t="shared" si="4"/>
        <v>0</v>
      </c>
      <c r="P36" s="890">
        <f t="shared" si="4"/>
        <v>0</v>
      </c>
      <c r="Q36" s="891"/>
      <c r="R36" s="1754"/>
      <c r="S36" s="1752"/>
      <c r="T36" s="1752"/>
      <c r="U36" s="1753"/>
      <c r="V36" s="562"/>
    </row>
    <row r="37" spans="1:22" ht="13.5" customHeight="1">
      <c r="A37" s="577">
        <v>24</v>
      </c>
      <c r="B37" s="584" t="s">
        <v>742</v>
      </c>
      <c r="C37" s="582"/>
      <c r="D37" s="580">
        <v>24</v>
      </c>
      <c r="E37" s="580">
        <v>300</v>
      </c>
      <c r="F37" s="580">
        <v>36</v>
      </c>
      <c r="G37" s="581">
        <f t="shared" si="0"/>
        <v>0</v>
      </c>
      <c r="H37" s="581">
        <f t="shared" si="5"/>
        <v>0</v>
      </c>
      <c r="I37" s="581">
        <f t="shared" si="5"/>
        <v>0</v>
      </c>
      <c r="J37" s="1749"/>
      <c r="K37" s="584" t="s">
        <v>743</v>
      </c>
      <c r="L37" s="582">
        <v>1</v>
      </c>
      <c r="M37" s="580">
        <v>268</v>
      </c>
      <c r="N37" s="580">
        <v>70</v>
      </c>
      <c r="O37" s="890">
        <f t="shared" si="4"/>
        <v>67</v>
      </c>
      <c r="P37" s="890">
        <f t="shared" si="4"/>
        <v>17.5</v>
      </c>
      <c r="Q37" s="891"/>
      <c r="R37" s="1754"/>
      <c r="S37" s="1752"/>
      <c r="T37" s="1752"/>
      <c r="U37" s="1753"/>
      <c r="V37" s="562"/>
    </row>
    <row r="38" spans="1:22" ht="13.5" customHeight="1">
      <c r="A38" s="577">
        <v>25</v>
      </c>
      <c r="B38" s="584" t="s">
        <v>744</v>
      </c>
      <c r="C38" s="582"/>
      <c r="D38" s="580">
        <v>24</v>
      </c>
      <c r="E38" s="580">
        <v>400</v>
      </c>
      <c r="F38" s="580">
        <v>60</v>
      </c>
      <c r="G38" s="581">
        <f t="shared" si="0"/>
        <v>0</v>
      </c>
      <c r="H38" s="581">
        <f t="shared" si="5"/>
        <v>0</v>
      </c>
      <c r="I38" s="581">
        <f t="shared" si="5"/>
        <v>0</v>
      </c>
      <c r="J38" s="1749"/>
      <c r="K38" s="578"/>
      <c r="L38" s="579"/>
      <c r="M38" s="580"/>
      <c r="N38" s="580"/>
      <c r="O38" s="890">
        <f t="shared" si="4"/>
        <v>0</v>
      </c>
      <c r="P38" s="890">
        <f t="shared" si="4"/>
        <v>0</v>
      </c>
      <c r="Q38" s="891"/>
      <c r="R38" s="1754"/>
      <c r="S38" s="1752"/>
      <c r="T38" s="1752"/>
      <c r="U38" s="1753"/>
      <c r="V38" s="562"/>
    </row>
    <row r="39" spans="1:22" ht="13.5" customHeight="1">
      <c r="A39" s="577">
        <v>26</v>
      </c>
      <c r="B39" s="584" t="s">
        <v>745</v>
      </c>
      <c r="C39" s="582"/>
      <c r="D39" s="580">
        <v>15</v>
      </c>
      <c r="E39" s="580">
        <v>320</v>
      </c>
      <c r="F39" s="580">
        <v>44</v>
      </c>
      <c r="G39" s="581">
        <f t="shared" si="0"/>
        <v>0</v>
      </c>
      <c r="H39" s="581">
        <f t="shared" si="5"/>
        <v>0</v>
      </c>
      <c r="I39" s="581">
        <f t="shared" si="5"/>
        <v>0</v>
      </c>
      <c r="J39" s="1749"/>
      <c r="K39" s="578"/>
      <c r="L39" s="579"/>
      <c r="M39" s="580"/>
      <c r="N39" s="580"/>
      <c r="O39" s="890">
        <f t="shared" si="4"/>
        <v>0</v>
      </c>
      <c r="P39" s="890">
        <f t="shared" si="4"/>
        <v>0</v>
      </c>
      <c r="Q39" s="891"/>
      <c r="R39" s="1754"/>
      <c r="S39" s="1752"/>
      <c r="T39" s="1752"/>
      <c r="U39" s="1753"/>
      <c r="V39" s="562"/>
    </row>
    <row r="40" spans="1:22" ht="13.5" customHeight="1">
      <c r="A40" s="577">
        <v>27</v>
      </c>
      <c r="B40" s="584" t="s">
        <v>746</v>
      </c>
      <c r="C40" s="582"/>
      <c r="D40" s="580">
        <v>24</v>
      </c>
      <c r="E40" s="580">
        <v>360</v>
      </c>
      <c r="F40" s="580">
        <v>56</v>
      </c>
      <c r="G40" s="581">
        <f t="shared" si="0"/>
        <v>0</v>
      </c>
      <c r="H40" s="581">
        <f t="shared" si="5"/>
        <v>0</v>
      </c>
      <c r="I40" s="581">
        <f t="shared" si="5"/>
        <v>0</v>
      </c>
      <c r="J40" s="1749"/>
      <c r="K40" s="578"/>
      <c r="L40" s="579"/>
      <c r="M40" s="580"/>
      <c r="N40" s="580"/>
      <c r="O40" s="890">
        <f t="shared" si="4"/>
        <v>0</v>
      </c>
      <c r="P40" s="890">
        <f t="shared" si="4"/>
        <v>0</v>
      </c>
      <c r="Q40" s="891"/>
      <c r="R40" s="1754"/>
      <c r="S40" s="1752"/>
      <c r="T40" s="1752"/>
      <c r="U40" s="1753"/>
      <c r="V40" s="562"/>
    </row>
    <row r="41" spans="1:22" ht="13.5" customHeight="1">
      <c r="A41" s="577">
        <v>28</v>
      </c>
      <c r="B41" s="584"/>
      <c r="C41" s="582"/>
      <c r="D41" s="580"/>
      <c r="E41" s="580"/>
      <c r="F41" s="580"/>
      <c r="G41" s="581">
        <f t="shared" si="0"/>
        <v>0</v>
      </c>
      <c r="H41" s="581">
        <f t="shared" si="5"/>
        <v>0</v>
      </c>
      <c r="I41" s="581">
        <f t="shared" si="5"/>
        <v>0</v>
      </c>
      <c r="J41" s="1749"/>
      <c r="K41" s="578"/>
      <c r="L41" s="579"/>
      <c r="M41" s="580"/>
      <c r="N41" s="580"/>
      <c r="O41" s="890">
        <f t="shared" si="4"/>
        <v>0</v>
      </c>
      <c r="P41" s="890">
        <f t="shared" si="4"/>
        <v>0</v>
      </c>
      <c r="Q41" s="891"/>
      <c r="R41" s="1754"/>
      <c r="S41" s="1752"/>
      <c r="T41" s="1752"/>
      <c r="U41" s="1753"/>
      <c r="V41" s="562"/>
    </row>
    <row r="42" spans="1:22" ht="13.5" customHeight="1">
      <c r="A42" s="577">
        <v>29</v>
      </c>
      <c r="B42" s="584" t="s">
        <v>747</v>
      </c>
      <c r="C42" s="582"/>
      <c r="D42" s="580">
        <v>16</v>
      </c>
      <c r="E42" s="580">
        <v>400</v>
      </c>
      <c r="F42" s="580">
        <v>44</v>
      </c>
      <c r="G42" s="581">
        <f t="shared" si="0"/>
        <v>0</v>
      </c>
      <c r="H42" s="581">
        <f t="shared" si="5"/>
        <v>0</v>
      </c>
      <c r="I42" s="581">
        <f t="shared" si="5"/>
        <v>0</v>
      </c>
      <c r="J42" s="1749"/>
      <c r="K42" s="578" t="s">
        <v>748</v>
      </c>
      <c r="L42" s="579"/>
      <c r="M42" s="580">
        <v>22</v>
      </c>
      <c r="N42" s="580">
        <v>6.7</v>
      </c>
      <c r="O42" s="890">
        <f t="shared" si="4"/>
        <v>0</v>
      </c>
      <c r="P42" s="890">
        <f t="shared" si="4"/>
        <v>0</v>
      </c>
      <c r="Q42" s="891"/>
      <c r="R42" s="1754"/>
      <c r="S42" s="1752"/>
      <c r="T42" s="1752"/>
      <c r="U42" s="1753"/>
      <c r="V42" s="562"/>
    </row>
    <row r="43" spans="1:22" ht="13.5" customHeight="1">
      <c r="A43" s="577">
        <v>30</v>
      </c>
      <c r="B43" s="584" t="s">
        <v>749</v>
      </c>
      <c r="C43" s="582"/>
      <c r="D43" s="580">
        <v>40</v>
      </c>
      <c r="E43" s="580">
        <v>400</v>
      </c>
      <c r="F43" s="580">
        <v>43.2</v>
      </c>
      <c r="G43" s="581">
        <f t="shared" si="0"/>
        <v>0</v>
      </c>
      <c r="H43" s="581">
        <f t="shared" si="5"/>
        <v>0</v>
      </c>
      <c r="I43" s="581">
        <f t="shared" si="5"/>
        <v>0</v>
      </c>
      <c r="J43" s="1749"/>
      <c r="K43" s="578" t="s">
        <v>750</v>
      </c>
      <c r="L43" s="579"/>
      <c r="M43" s="580">
        <v>26</v>
      </c>
      <c r="N43" s="580">
        <v>8.9</v>
      </c>
      <c r="O43" s="890">
        <f t="shared" si="4"/>
        <v>0</v>
      </c>
      <c r="P43" s="890">
        <f t="shared" si="4"/>
        <v>0</v>
      </c>
      <c r="Q43" s="891"/>
      <c r="R43" s="1754"/>
      <c r="S43" s="1752"/>
      <c r="T43" s="1752"/>
      <c r="U43" s="1753"/>
      <c r="V43" s="562"/>
    </row>
    <row r="44" spans="1:22" ht="13.5" customHeight="1">
      <c r="A44" s="577">
        <v>31</v>
      </c>
      <c r="B44" s="584"/>
      <c r="C44" s="582"/>
      <c r="D44" s="580"/>
      <c r="E44" s="580"/>
      <c r="F44" s="580"/>
      <c r="G44" s="581">
        <f t="shared" si="0"/>
        <v>0</v>
      </c>
      <c r="H44" s="581">
        <f t="shared" si="5"/>
        <v>0</v>
      </c>
      <c r="I44" s="581">
        <f t="shared" si="5"/>
        <v>0</v>
      </c>
      <c r="J44" s="1749"/>
      <c r="K44" s="584" t="s">
        <v>751</v>
      </c>
      <c r="L44" s="582"/>
      <c r="M44" s="580">
        <v>51</v>
      </c>
      <c r="N44" s="580">
        <v>13.5</v>
      </c>
      <c r="O44" s="890">
        <f t="shared" si="4"/>
        <v>0</v>
      </c>
      <c r="P44" s="890">
        <f t="shared" si="4"/>
        <v>0</v>
      </c>
      <c r="Q44" s="891"/>
      <c r="R44" s="1754"/>
      <c r="S44" s="1752"/>
      <c r="T44" s="1752"/>
      <c r="U44" s="1753"/>
      <c r="V44" s="562"/>
    </row>
    <row r="45" spans="1:22" ht="13.5" customHeight="1">
      <c r="A45" s="577">
        <v>32</v>
      </c>
      <c r="B45" s="584" t="s">
        <v>752</v>
      </c>
      <c r="C45" s="582"/>
      <c r="D45" s="580">
        <v>28.000000000000004</v>
      </c>
      <c r="E45" s="580">
        <v>424</v>
      </c>
      <c r="F45" s="580">
        <v>66</v>
      </c>
      <c r="G45" s="581">
        <f t="shared" si="0"/>
        <v>0</v>
      </c>
      <c r="H45" s="581">
        <f t="shared" si="5"/>
        <v>0</v>
      </c>
      <c r="I45" s="581">
        <f t="shared" si="5"/>
        <v>0</v>
      </c>
      <c r="J45" s="1749"/>
      <c r="K45" s="584"/>
      <c r="L45" s="582"/>
      <c r="M45" s="580"/>
      <c r="N45" s="580"/>
      <c r="O45" s="890">
        <f t="shared" si="4"/>
        <v>0</v>
      </c>
      <c r="P45" s="890">
        <f t="shared" si="4"/>
        <v>0</v>
      </c>
      <c r="Q45" s="891"/>
      <c r="R45" s="1754"/>
      <c r="S45" s="1752"/>
      <c r="T45" s="1752"/>
      <c r="U45" s="1753"/>
      <c r="V45" s="562"/>
    </row>
    <row r="46" spans="1:22" ht="13.5" customHeight="1">
      <c r="A46" s="577">
        <v>33</v>
      </c>
      <c r="B46" s="584" t="s">
        <v>753</v>
      </c>
      <c r="C46" s="582"/>
      <c r="D46" s="580">
        <v>28.000000000000004</v>
      </c>
      <c r="E46" s="580">
        <v>256</v>
      </c>
      <c r="F46" s="580">
        <v>39.200000000000003</v>
      </c>
      <c r="G46" s="581">
        <f t="shared" si="0"/>
        <v>0</v>
      </c>
      <c r="H46" s="581">
        <f t="shared" si="5"/>
        <v>0</v>
      </c>
      <c r="I46" s="581">
        <f t="shared" si="5"/>
        <v>0</v>
      </c>
      <c r="J46" s="1749"/>
      <c r="K46" s="584" t="s">
        <v>754</v>
      </c>
      <c r="L46" s="582"/>
      <c r="M46" s="580">
        <v>46</v>
      </c>
      <c r="N46" s="580">
        <v>9.1</v>
      </c>
      <c r="O46" s="890">
        <f t="shared" si="4"/>
        <v>0</v>
      </c>
      <c r="P46" s="890">
        <f t="shared" si="4"/>
        <v>0</v>
      </c>
      <c r="Q46" s="891"/>
      <c r="R46" s="1754"/>
      <c r="S46" s="1752"/>
      <c r="T46" s="1752"/>
      <c r="U46" s="1753"/>
      <c r="V46" s="562"/>
    </row>
    <row r="47" spans="1:22" ht="13.5" customHeight="1">
      <c r="A47" s="577">
        <v>34</v>
      </c>
      <c r="B47" s="584"/>
      <c r="C47" s="582"/>
      <c r="D47" s="580"/>
      <c r="E47" s="580"/>
      <c r="F47" s="580"/>
      <c r="G47" s="581">
        <f t="shared" si="0"/>
        <v>0</v>
      </c>
      <c r="H47" s="581">
        <f t="shared" si="5"/>
        <v>0</v>
      </c>
      <c r="I47" s="581">
        <f t="shared" si="5"/>
        <v>0</v>
      </c>
      <c r="J47" s="1749"/>
      <c r="K47" s="578" t="s">
        <v>755</v>
      </c>
      <c r="L47" s="582"/>
      <c r="M47" s="580">
        <v>22</v>
      </c>
      <c r="N47" s="580">
        <v>7</v>
      </c>
      <c r="O47" s="890">
        <f t="shared" si="4"/>
        <v>0</v>
      </c>
      <c r="P47" s="890">
        <f t="shared" si="4"/>
        <v>0</v>
      </c>
      <c r="Q47" s="891"/>
      <c r="R47" s="1754"/>
      <c r="S47" s="1752"/>
      <c r="T47" s="1752"/>
      <c r="U47" s="1753"/>
      <c r="V47" s="562"/>
    </row>
    <row r="48" spans="1:22" ht="13.5" customHeight="1">
      <c r="A48" s="577">
        <v>35</v>
      </c>
      <c r="B48" s="584" t="s">
        <v>756</v>
      </c>
      <c r="C48" s="582"/>
      <c r="D48" s="580">
        <v>18</v>
      </c>
      <c r="E48" s="580">
        <v>400</v>
      </c>
      <c r="F48" s="580">
        <v>44</v>
      </c>
      <c r="G48" s="581">
        <f t="shared" si="0"/>
        <v>0</v>
      </c>
      <c r="H48" s="581">
        <f t="shared" si="5"/>
        <v>0</v>
      </c>
      <c r="I48" s="581">
        <f t="shared" si="5"/>
        <v>0</v>
      </c>
      <c r="J48" s="1749"/>
      <c r="K48" s="578" t="s">
        <v>757</v>
      </c>
      <c r="L48" s="582"/>
      <c r="M48" s="580">
        <v>26</v>
      </c>
      <c r="N48" s="580">
        <v>8.8000000000000007</v>
      </c>
      <c r="O48" s="890">
        <f t="shared" si="4"/>
        <v>0</v>
      </c>
      <c r="P48" s="890">
        <f t="shared" si="4"/>
        <v>0</v>
      </c>
      <c r="Q48" s="891"/>
      <c r="R48" s="1754"/>
      <c r="S48" s="1752"/>
      <c r="T48" s="1752"/>
      <c r="U48" s="1753"/>
      <c r="V48" s="562"/>
    </row>
    <row r="49" spans="1:22" ht="13.5" customHeight="1">
      <c r="A49" s="577">
        <v>36</v>
      </c>
      <c r="B49" s="584" t="s">
        <v>758</v>
      </c>
      <c r="C49" s="582"/>
      <c r="D49" s="580">
        <v>40</v>
      </c>
      <c r="E49" s="580">
        <v>332</v>
      </c>
      <c r="F49" s="580">
        <v>26.8</v>
      </c>
      <c r="G49" s="581">
        <f t="shared" si="0"/>
        <v>0</v>
      </c>
      <c r="H49" s="581">
        <f t="shared" si="5"/>
        <v>0</v>
      </c>
      <c r="I49" s="581">
        <f t="shared" si="5"/>
        <v>0</v>
      </c>
      <c r="J49" s="1749"/>
      <c r="K49" s="578"/>
      <c r="L49" s="582"/>
      <c r="M49" s="580">
        <v>0</v>
      </c>
      <c r="N49" s="580">
        <v>0</v>
      </c>
      <c r="O49" s="890">
        <f t="shared" si="4"/>
        <v>0</v>
      </c>
      <c r="P49" s="890">
        <f t="shared" si="4"/>
        <v>0</v>
      </c>
      <c r="Q49" s="891"/>
      <c r="R49" s="1754"/>
      <c r="S49" s="1752"/>
      <c r="T49" s="1752"/>
      <c r="U49" s="1753"/>
      <c r="V49" s="562"/>
    </row>
    <row r="50" spans="1:22" ht="13.5" customHeight="1">
      <c r="A50" s="577">
        <v>37</v>
      </c>
      <c r="B50" s="584" t="s">
        <v>759</v>
      </c>
      <c r="C50" s="582"/>
      <c r="D50" s="580">
        <v>40</v>
      </c>
      <c r="E50" s="580">
        <v>216</v>
      </c>
      <c r="F50" s="580">
        <v>0</v>
      </c>
      <c r="G50" s="581">
        <f t="shared" si="0"/>
        <v>0</v>
      </c>
      <c r="H50" s="581">
        <f t="shared" si="5"/>
        <v>0</v>
      </c>
      <c r="I50" s="581">
        <f t="shared" si="5"/>
        <v>0</v>
      </c>
      <c r="J50" s="1749"/>
      <c r="K50" s="584" t="s">
        <v>760</v>
      </c>
      <c r="L50" s="582"/>
      <c r="M50" s="580">
        <v>50</v>
      </c>
      <c r="N50" s="580">
        <v>5</v>
      </c>
      <c r="O50" s="890">
        <f t="shared" si="4"/>
        <v>0</v>
      </c>
      <c r="P50" s="890">
        <f t="shared" si="4"/>
        <v>0</v>
      </c>
      <c r="Q50" s="891"/>
      <c r="R50" s="1754"/>
      <c r="S50" s="1752"/>
      <c r="T50" s="1752"/>
      <c r="U50" s="1753"/>
      <c r="V50" s="562"/>
    </row>
    <row r="51" spans="1:22" ht="13.5" customHeight="1">
      <c r="A51" s="577">
        <v>38</v>
      </c>
      <c r="B51" s="584"/>
      <c r="C51" s="582"/>
      <c r="D51" s="580"/>
      <c r="E51" s="580"/>
      <c r="F51" s="580"/>
      <c r="G51" s="581">
        <f t="shared" si="0"/>
        <v>0</v>
      </c>
      <c r="H51" s="581">
        <f t="shared" si="5"/>
        <v>0</v>
      </c>
      <c r="I51" s="581">
        <f t="shared" si="5"/>
        <v>0</v>
      </c>
      <c r="J51" s="1749"/>
      <c r="K51" s="584"/>
      <c r="L51" s="582"/>
      <c r="M51" s="580"/>
      <c r="N51" s="580"/>
      <c r="O51" s="890">
        <f t="shared" si="4"/>
        <v>0</v>
      </c>
      <c r="P51" s="890">
        <f t="shared" si="4"/>
        <v>0</v>
      </c>
      <c r="Q51" s="891"/>
      <c r="R51" s="1754"/>
      <c r="S51" s="1752"/>
      <c r="T51" s="1752"/>
      <c r="U51" s="1753"/>
      <c r="V51" s="562"/>
    </row>
    <row r="52" spans="1:22" ht="13.5" customHeight="1">
      <c r="A52" s="577">
        <v>39</v>
      </c>
      <c r="B52" s="584" t="s">
        <v>761</v>
      </c>
      <c r="C52" s="582"/>
      <c r="D52" s="580">
        <v>40</v>
      </c>
      <c r="E52" s="580">
        <v>264</v>
      </c>
      <c r="F52" s="580">
        <v>0</v>
      </c>
      <c r="G52" s="581">
        <f t="shared" si="0"/>
        <v>0</v>
      </c>
      <c r="H52" s="581">
        <f t="shared" si="5"/>
        <v>0</v>
      </c>
      <c r="I52" s="581">
        <f t="shared" si="5"/>
        <v>0</v>
      </c>
      <c r="J52" s="1749"/>
      <c r="K52" s="578" t="s">
        <v>762</v>
      </c>
      <c r="L52" s="582">
        <v>7</v>
      </c>
      <c r="M52" s="580">
        <v>44</v>
      </c>
      <c r="N52" s="580">
        <v>10.3</v>
      </c>
      <c r="O52" s="890">
        <f t="shared" si="4"/>
        <v>77</v>
      </c>
      <c r="P52" s="890">
        <f t="shared" si="4"/>
        <v>18.025000000000002</v>
      </c>
      <c r="Q52" s="891"/>
      <c r="R52" s="1754"/>
      <c r="S52" s="1752"/>
      <c r="T52" s="1752"/>
      <c r="U52" s="1753"/>
      <c r="V52" s="562"/>
    </row>
    <row r="53" spans="1:22" ht="13.5" customHeight="1">
      <c r="A53" s="577">
        <v>40</v>
      </c>
      <c r="B53" s="584" t="s">
        <v>763</v>
      </c>
      <c r="C53" s="582"/>
      <c r="D53" s="580">
        <v>21</v>
      </c>
      <c r="E53" s="580">
        <v>192</v>
      </c>
      <c r="F53" s="580">
        <v>20.399999999999999</v>
      </c>
      <c r="G53" s="581">
        <f t="shared" si="0"/>
        <v>0</v>
      </c>
      <c r="H53" s="581">
        <f t="shared" si="5"/>
        <v>0</v>
      </c>
      <c r="I53" s="581">
        <f t="shared" si="5"/>
        <v>0</v>
      </c>
      <c r="J53" s="1749"/>
      <c r="K53" s="578" t="s">
        <v>764</v>
      </c>
      <c r="L53" s="582"/>
      <c r="M53" s="580">
        <v>47</v>
      </c>
      <c r="N53" s="580">
        <v>10.9</v>
      </c>
      <c r="O53" s="890">
        <f t="shared" si="4"/>
        <v>0</v>
      </c>
      <c r="P53" s="890">
        <f t="shared" si="4"/>
        <v>0</v>
      </c>
      <c r="Q53" s="891"/>
      <c r="R53" s="1754"/>
      <c r="S53" s="1752"/>
      <c r="T53" s="1752"/>
      <c r="U53" s="1753"/>
      <c r="V53" s="562"/>
    </row>
    <row r="54" spans="1:22" ht="13.5" customHeight="1">
      <c r="A54" s="577">
        <v>41</v>
      </c>
      <c r="B54" s="584" t="s">
        <v>765</v>
      </c>
      <c r="C54" s="582"/>
      <c r="D54" s="580">
        <v>25</v>
      </c>
      <c r="E54" s="580">
        <v>280</v>
      </c>
      <c r="F54" s="580">
        <v>35.6</v>
      </c>
      <c r="G54" s="581">
        <f t="shared" si="0"/>
        <v>0</v>
      </c>
      <c r="H54" s="581">
        <f t="shared" si="5"/>
        <v>0</v>
      </c>
      <c r="I54" s="581">
        <f t="shared" si="5"/>
        <v>0</v>
      </c>
      <c r="J54" s="1749"/>
      <c r="K54" s="584"/>
      <c r="L54" s="582"/>
      <c r="M54" s="580"/>
      <c r="N54" s="580"/>
      <c r="O54" s="890">
        <f t="shared" si="4"/>
        <v>0</v>
      </c>
      <c r="P54" s="890">
        <f t="shared" si="4"/>
        <v>0</v>
      </c>
      <c r="Q54" s="891"/>
      <c r="R54" s="1754"/>
      <c r="S54" s="1752"/>
      <c r="T54" s="1752"/>
      <c r="U54" s="1753"/>
      <c r="V54" s="562"/>
    </row>
    <row r="55" spans="1:22" ht="13.5" customHeight="1">
      <c r="A55" s="577">
        <v>42</v>
      </c>
      <c r="B55" s="584" t="s">
        <v>766</v>
      </c>
      <c r="C55" s="582"/>
      <c r="D55" s="580">
        <v>18</v>
      </c>
      <c r="E55" s="580">
        <v>180</v>
      </c>
      <c r="F55" s="580">
        <v>16</v>
      </c>
      <c r="G55" s="581">
        <f t="shared" si="0"/>
        <v>0</v>
      </c>
      <c r="H55" s="581">
        <f t="shared" si="5"/>
        <v>0</v>
      </c>
      <c r="I55" s="581">
        <f t="shared" si="5"/>
        <v>0</v>
      </c>
      <c r="J55" s="1749"/>
      <c r="K55" s="578"/>
      <c r="L55" s="582"/>
      <c r="M55" s="580"/>
      <c r="N55" s="580"/>
      <c r="O55" s="890">
        <f t="shared" si="4"/>
        <v>0</v>
      </c>
      <c r="P55" s="890">
        <f t="shared" si="4"/>
        <v>0</v>
      </c>
      <c r="Q55" s="891"/>
      <c r="R55" s="1754"/>
      <c r="S55" s="1752"/>
      <c r="T55" s="1752"/>
      <c r="U55" s="1753"/>
      <c r="V55" s="562"/>
    </row>
    <row r="56" spans="1:22" ht="13.5" customHeight="1">
      <c r="A56" s="577">
        <v>43</v>
      </c>
      <c r="B56" s="584"/>
      <c r="C56" s="582"/>
      <c r="D56" s="580"/>
      <c r="E56" s="580"/>
      <c r="F56" s="580"/>
      <c r="G56" s="581">
        <f t="shared" si="0"/>
        <v>0</v>
      </c>
      <c r="H56" s="581">
        <f t="shared" si="5"/>
        <v>0</v>
      </c>
      <c r="I56" s="581">
        <f t="shared" si="5"/>
        <v>0</v>
      </c>
      <c r="J56" s="1749"/>
      <c r="K56" s="584"/>
      <c r="L56" s="582"/>
      <c r="M56" s="580"/>
      <c r="N56" s="580"/>
      <c r="O56" s="890">
        <f t="shared" si="4"/>
        <v>0</v>
      </c>
      <c r="P56" s="890">
        <f t="shared" si="4"/>
        <v>0</v>
      </c>
      <c r="Q56" s="891"/>
      <c r="R56" s="1754"/>
      <c r="S56" s="1752"/>
      <c r="T56" s="1752"/>
      <c r="U56" s="1753"/>
      <c r="V56" s="562"/>
    </row>
    <row r="57" spans="1:22" ht="13.5" customHeight="1">
      <c r="A57" s="577">
        <v>44</v>
      </c>
      <c r="B57" s="584" t="s">
        <v>767</v>
      </c>
      <c r="C57" s="582"/>
      <c r="D57" s="580">
        <v>24</v>
      </c>
      <c r="E57" s="580">
        <v>280</v>
      </c>
      <c r="F57" s="580">
        <v>28</v>
      </c>
      <c r="G57" s="581">
        <f t="shared" si="0"/>
        <v>0</v>
      </c>
      <c r="H57" s="581">
        <f t="shared" si="5"/>
        <v>0</v>
      </c>
      <c r="I57" s="581">
        <f t="shared" si="5"/>
        <v>0</v>
      </c>
      <c r="J57" s="1749"/>
      <c r="K57" s="584" t="s">
        <v>768</v>
      </c>
      <c r="L57" s="582"/>
      <c r="M57" s="580">
        <v>63</v>
      </c>
      <c r="N57" s="580">
        <v>15.1</v>
      </c>
      <c r="O57" s="890">
        <f t="shared" si="4"/>
        <v>0</v>
      </c>
      <c r="P57" s="890">
        <f t="shared" si="4"/>
        <v>0</v>
      </c>
      <c r="Q57" s="891"/>
      <c r="R57" s="1754"/>
      <c r="S57" s="1752"/>
      <c r="T57" s="1752"/>
      <c r="U57" s="1753"/>
      <c r="V57" s="562"/>
    </row>
    <row r="58" spans="1:22" ht="13.5" customHeight="1">
      <c r="A58" s="577">
        <v>45</v>
      </c>
      <c r="B58" s="584" t="s">
        <v>769</v>
      </c>
      <c r="C58" s="582"/>
      <c r="D58" s="580">
        <v>23</v>
      </c>
      <c r="E58" s="580">
        <v>252</v>
      </c>
      <c r="F58" s="580">
        <v>28</v>
      </c>
      <c r="G58" s="581">
        <f t="shared" si="0"/>
        <v>0</v>
      </c>
      <c r="H58" s="581">
        <f t="shared" si="5"/>
        <v>0</v>
      </c>
      <c r="I58" s="581">
        <f t="shared" si="5"/>
        <v>0</v>
      </c>
      <c r="J58" s="1749"/>
      <c r="K58" s="584" t="s">
        <v>770</v>
      </c>
      <c r="L58" s="582"/>
      <c r="M58" s="580">
        <v>74</v>
      </c>
      <c r="N58" s="580">
        <v>17.2</v>
      </c>
      <c r="O58" s="890">
        <f t="shared" si="4"/>
        <v>0</v>
      </c>
      <c r="P58" s="890">
        <f t="shared" si="4"/>
        <v>0</v>
      </c>
      <c r="Q58" s="891"/>
      <c r="R58" s="1754"/>
      <c r="S58" s="1752"/>
      <c r="T58" s="1752"/>
      <c r="U58" s="1753"/>
      <c r="V58" s="562"/>
    </row>
    <row r="59" spans="1:22" ht="13.5" customHeight="1">
      <c r="A59" s="577">
        <v>46</v>
      </c>
      <c r="B59" s="584" t="s">
        <v>771</v>
      </c>
      <c r="C59" s="582"/>
      <c r="D59" s="580">
        <v>25</v>
      </c>
      <c r="E59" s="580">
        <v>160</v>
      </c>
      <c r="F59" s="580">
        <v>16</v>
      </c>
      <c r="G59" s="581">
        <f t="shared" si="0"/>
        <v>0</v>
      </c>
      <c r="H59" s="581">
        <f t="shared" si="5"/>
        <v>0</v>
      </c>
      <c r="I59" s="581">
        <f t="shared" si="5"/>
        <v>0</v>
      </c>
      <c r="J59" s="1749"/>
      <c r="K59" s="578" t="s">
        <v>772</v>
      </c>
      <c r="L59" s="582"/>
      <c r="M59" s="580">
        <v>110</v>
      </c>
      <c r="N59" s="580">
        <v>16</v>
      </c>
      <c r="O59" s="890">
        <f t="shared" si="4"/>
        <v>0</v>
      </c>
      <c r="P59" s="890">
        <f>$L59*N59*25/100</f>
        <v>0</v>
      </c>
      <c r="Q59" s="891"/>
      <c r="R59" s="1754"/>
      <c r="S59" s="1752"/>
      <c r="T59" s="1752"/>
      <c r="U59" s="1753"/>
      <c r="V59" s="562"/>
    </row>
    <row r="60" spans="1:22" ht="13.5" customHeight="1">
      <c r="A60" s="577">
        <v>47</v>
      </c>
      <c r="B60" s="584" t="s">
        <v>773</v>
      </c>
      <c r="C60" s="582"/>
      <c r="D60" s="580">
        <v>20</v>
      </c>
      <c r="E60" s="580">
        <v>160</v>
      </c>
      <c r="F60" s="580">
        <v>12</v>
      </c>
      <c r="G60" s="581">
        <f t="shared" si="0"/>
        <v>0</v>
      </c>
      <c r="H60" s="581">
        <f t="shared" si="5"/>
        <v>0</v>
      </c>
      <c r="I60" s="581">
        <f t="shared" si="5"/>
        <v>0</v>
      </c>
      <c r="J60" s="1749"/>
      <c r="K60" s="578" t="s">
        <v>774</v>
      </c>
      <c r="L60" s="582"/>
      <c r="M60" s="580">
        <v>48</v>
      </c>
      <c r="N60" s="580">
        <v>12</v>
      </c>
      <c r="O60" s="890">
        <f t="shared" si="4"/>
        <v>0</v>
      </c>
      <c r="P60" s="890">
        <f t="shared" si="4"/>
        <v>0</v>
      </c>
      <c r="Q60" s="891"/>
      <c r="R60" s="1754"/>
      <c r="S60" s="1752"/>
      <c r="T60" s="1752"/>
      <c r="U60" s="1753"/>
      <c r="V60" s="562"/>
    </row>
    <row r="61" spans="1:22" ht="13.5" customHeight="1">
      <c r="A61" s="577">
        <v>48</v>
      </c>
      <c r="B61" s="584" t="s">
        <v>775</v>
      </c>
      <c r="C61" s="582"/>
      <c r="D61" s="580">
        <v>40</v>
      </c>
      <c r="E61" s="580">
        <v>216</v>
      </c>
      <c r="F61" s="580">
        <v>0</v>
      </c>
      <c r="G61" s="581">
        <f t="shared" si="0"/>
        <v>0</v>
      </c>
      <c r="H61" s="581">
        <f t="shared" si="5"/>
        <v>0</v>
      </c>
      <c r="I61" s="581">
        <f t="shared" si="5"/>
        <v>0</v>
      </c>
      <c r="J61" s="1749"/>
      <c r="K61" s="584" t="s">
        <v>776</v>
      </c>
      <c r="L61" s="582"/>
      <c r="M61" s="580">
        <v>58</v>
      </c>
      <c r="N61" s="580">
        <v>14.6</v>
      </c>
      <c r="O61" s="890">
        <f t="shared" si="4"/>
        <v>0</v>
      </c>
      <c r="P61" s="890">
        <f t="shared" si="4"/>
        <v>0</v>
      </c>
      <c r="Q61" s="891"/>
      <c r="R61" s="1754"/>
      <c r="S61" s="1752"/>
      <c r="T61" s="1752"/>
      <c r="U61" s="1753"/>
      <c r="V61" s="562"/>
    </row>
    <row r="62" spans="1:22" ht="13.5" customHeight="1">
      <c r="A62" s="577">
        <v>49</v>
      </c>
      <c r="B62" s="584"/>
      <c r="C62" s="582"/>
      <c r="D62" s="580"/>
      <c r="E62" s="580"/>
      <c r="F62" s="580"/>
      <c r="G62" s="581">
        <f t="shared" si="0"/>
        <v>0</v>
      </c>
      <c r="H62" s="581">
        <f t="shared" si="5"/>
        <v>0</v>
      </c>
      <c r="I62" s="581">
        <f t="shared" si="5"/>
        <v>0</v>
      </c>
      <c r="J62" s="1749"/>
      <c r="K62" s="584"/>
      <c r="L62" s="582"/>
      <c r="M62" s="580"/>
      <c r="N62" s="580"/>
      <c r="O62" s="890">
        <f t="shared" si="4"/>
        <v>0</v>
      </c>
      <c r="P62" s="890">
        <f t="shared" si="4"/>
        <v>0</v>
      </c>
      <c r="Q62" s="891"/>
      <c r="R62" s="1754"/>
      <c r="S62" s="1752"/>
      <c r="T62" s="1752"/>
      <c r="U62" s="1753"/>
      <c r="V62" s="562"/>
    </row>
    <row r="63" spans="1:22" s="655" customFormat="1" ht="13.5" customHeight="1">
      <c r="A63" s="577">
        <v>50</v>
      </c>
      <c r="B63" s="584"/>
      <c r="C63" s="582"/>
      <c r="D63" s="580"/>
      <c r="E63" s="580"/>
      <c r="F63" s="580"/>
      <c r="G63" s="581">
        <f t="shared" ref="G63" si="6">C63*D63/40</f>
        <v>0</v>
      </c>
      <c r="H63" s="581">
        <f t="shared" ref="H63" si="7">$C63*E63*25/100</f>
        <v>0</v>
      </c>
      <c r="I63" s="581">
        <f t="shared" ref="I63" si="8">$C63*F63*25/100</f>
        <v>0</v>
      </c>
      <c r="J63" s="1749"/>
      <c r="K63" s="584"/>
      <c r="L63" s="582"/>
      <c r="M63" s="580"/>
      <c r="N63" s="580"/>
      <c r="O63" s="890">
        <f t="shared" ref="O63" si="9">$L63*M63*25/100</f>
        <v>0</v>
      </c>
      <c r="P63" s="890">
        <f t="shared" ref="P63" si="10">$L63*N63*25/100</f>
        <v>0</v>
      </c>
      <c r="Q63" s="891"/>
      <c r="R63" s="1754"/>
      <c r="S63" s="1752"/>
      <c r="T63" s="1752"/>
      <c r="U63" s="1753"/>
      <c r="V63" s="562"/>
    </row>
    <row r="64" spans="1:22" ht="13.5" customHeight="1">
      <c r="A64" s="577">
        <v>51</v>
      </c>
      <c r="B64" s="584" t="s">
        <v>777</v>
      </c>
      <c r="C64" s="582"/>
      <c r="D64" s="580">
        <v>15</v>
      </c>
      <c r="E64" s="580">
        <v>144</v>
      </c>
      <c r="F64" s="580">
        <v>6</v>
      </c>
      <c r="G64" s="581">
        <f t="shared" si="0"/>
        <v>0</v>
      </c>
      <c r="H64" s="581">
        <f t="shared" si="5"/>
        <v>0</v>
      </c>
      <c r="I64" s="581">
        <f t="shared" si="5"/>
        <v>0</v>
      </c>
      <c r="J64" s="1749"/>
      <c r="K64" s="578"/>
      <c r="L64" s="582"/>
      <c r="M64" s="580"/>
      <c r="N64" s="580"/>
      <c r="O64" s="890">
        <f t="shared" si="4"/>
        <v>0</v>
      </c>
      <c r="P64" s="890">
        <f t="shared" si="4"/>
        <v>0</v>
      </c>
      <c r="Q64" s="891"/>
      <c r="R64" s="1754"/>
      <c r="S64" s="1752"/>
      <c r="T64" s="1752"/>
      <c r="U64" s="1753"/>
      <c r="V64" s="562"/>
    </row>
    <row r="65" spans="1:22" ht="13.5" customHeight="1">
      <c r="A65" s="577">
        <v>52</v>
      </c>
      <c r="B65" s="584" t="s">
        <v>778</v>
      </c>
      <c r="C65" s="582"/>
      <c r="D65" s="580">
        <v>15</v>
      </c>
      <c r="E65" s="580">
        <v>112</v>
      </c>
      <c r="F65" s="580">
        <v>1</v>
      </c>
      <c r="G65" s="581">
        <f t="shared" si="0"/>
        <v>0</v>
      </c>
      <c r="H65" s="581">
        <f t="shared" si="5"/>
        <v>0</v>
      </c>
      <c r="I65" s="581">
        <f t="shared" si="5"/>
        <v>0</v>
      </c>
      <c r="J65" s="1749"/>
      <c r="K65" s="584" t="s">
        <v>779</v>
      </c>
      <c r="L65" s="582"/>
      <c r="M65" s="580"/>
      <c r="N65" s="580"/>
      <c r="O65" s="890">
        <f t="shared" si="4"/>
        <v>0</v>
      </c>
      <c r="P65" s="890">
        <f t="shared" si="4"/>
        <v>0</v>
      </c>
      <c r="Q65" s="891"/>
      <c r="R65" s="1754"/>
      <c r="S65" s="1752"/>
      <c r="T65" s="1752"/>
      <c r="U65" s="1753"/>
      <c r="V65" s="562"/>
    </row>
    <row r="66" spans="1:22" ht="13.5" customHeight="1">
      <c r="A66" s="577">
        <v>53</v>
      </c>
      <c r="B66" s="584" t="s">
        <v>780</v>
      </c>
      <c r="C66" s="582"/>
      <c r="D66" s="580">
        <v>15</v>
      </c>
      <c r="E66" s="580">
        <v>112</v>
      </c>
      <c r="F66" s="580">
        <v>5</v>
      </c>
      <c r="G66" s="581">
        <f t="shared" si="0"/>
        <v>0</v>
      </c>
      <c r="H66" s="581">
        <f t="shared" si="5"/>
        <v>0</v>
      </c>
      <c r="I66" s="581">
        <f t="shared" si="5"/>
        <v>0</v>
      </c>
      <c r="J66" s="1749"/>
      <c r="K66" s="578" t="s">
        <v>781</v>
      </c>
      <c r="L66" s="582"/>
      <c r="M66" s="580">
        <v>160</v>
      </c>
      <c r="N66" s="580">
        <v>50</v>
      </c>
      <c r="O66" s="890">
        <f t="shared" si="4"/>
        <v>0</v>
      </c>
      <c r="P66" s="890">
        <f t="shared" si="4"/>
        <v>0</v>
      </c>
      <c r="Q66" s="891"/>
      <c r="R66" s="1754"/>
      <c r="S66" s="1752"/>
      <c r="T66" s="1752"/>
      <c r="U66" s="1753"/>
      <c r="V66" s="562"/>
    </row>
    <row r="67" spans="1:22" ht="13.5" customHeight="1">
      <c r="A67" s="577">
        <v>54</v>
      </c>
      <c r="B67" s="584" t="s">
        <v>782</v>
      </c>
      <c r="C67" s="582"/>
      <c r="D67" s="580">
        <v>25</v>
      </c>
      <c r="E67" s="580">
        <v>320</v>
      </c>
      <c r="F67" s="580">
        <v>0</v>
      </c>
      <c r="G67" s="581">
        <f t="shared" si="0"/>
        <v>0</v>
      </c>
      <c r="H67" s="581">
        <f t="shared" si="5"/>
        <v>0</v>
      </c>
      <c r="I67" s="581">
        <f t="shared" si="5"/>
        <v>0</v>
      </c>
      <c r="J67" s="1749"/>
      <c r="K67" s="584"/>
      <c r="L67" s="582"/>
      <c r="M67" s="580"/>
      <c r="N67" s="580"/>
      <c r="O67" s="890">
        <f t="shared" si="4"/>
        <v>0</v>
      </c>
      <c r="P67" s="890">
        <f t="shared" si="4"/>
        <v>0</v>
      </c>
      <c r="Q67" s="891"/>
      <c r="R67" s="1754"/>
      <c r="S67" s="1752"/>
      <c r="T67" s="1752"/>
      <c r="U67" s="1753"/>
      <c r="V67" s="562"/>
    </row>
    <row r="68" spans="1:22" ht="13.5" customHeight="1">
      <c r="A68" s="577">
        <v>55</v>
      </c>
      <c r="B68" s="584"/>
      <c r="C68" s="582"/>
      <c r="D68" s="580"/>
      <c r="E68" s="580"/>
      <c r="F68" s="580"/>
      <c r="G68" s="581">
        <f t="shared" si="0"/>
        <v>0</v>
      </c>
      <c r="H68" s="581">
        <f t="shared" si="5"/>
        <v>0</v>
      </c>
      <c r="I68" s="581">
        <f t="shared" si="5"/>
        <v>0</v>
      </c>
      <c r="J68" s="1749"/>
      <c r="K68" s="584"/>
      <c r="L68" s="582"/>
      <c r="M68" s="580"/>
      <c r="N68" s="580"/>
      <c r="O68" s="890">
        <f t="shared" si="4"/>
        <v>0</v>
      </c>
      <c r="P68" s="890">
        <f t="shared" si="4"/>
        <v>0</v>
      </c>
      <c r="Q68" s="891"/>
      <c r="R68" s="1754"/>
      <c r="S68" s="1752"/>
      <c r="T68" s="1752"/>
      <c r="U68" s="1753"/>
      <c r="V68" s="562"/>
    </row>
    <row r="69" spans="1:22" ht="13.5" customHeight="1">
      <c r="A69" s="577">
        <v>56</v>
      </c>
      <c r="B69" s="584"/>
      <c r="C69" s="582"/>
      <c r="D69" s="580"/>
      <c r="E69" s="580"/>
      <c r="F69" s="580"/>
      <c r="G69" s="581">
        <f t="shared" si="0"/>
        <v>0</v>
      </c>
      <c r="H69" s="581">
        <f t="shared" si="5"/>
        <v>0</v>
      </c>
      <c r="I69" s="581">
        <f t="shared" si="5"/>
        <v>0</v>
      </c>
      <c r="J69" s="1749"/>
      <c r="K69" s="578" t="s">
        <v>783</v>
      </c>
      <c r="L69" s="582"/>
      <c r="M69" s="580">
        <v>21</v>
      </c>
      <c r="N69" s="580">
        <v>4</v>
      </c>
      <c r="O69" s="890">
        <f t="shared" si="4"/>
        <v>0</v>
      </c>
      <c r="P69" s="890">
        <f t="shared" si="4"/>
        <v>0</v>
      </c>
      <c r="Q69" s="891"/>
      <c r="R69" s="1754"/>
      <c r="S69" s="1752"/>
      <c r="T69" s="1752"/>
      <c r="U69" s="1753"/>
      <c r="V69" s="562"/>
    </row>
    <row r="70" spans="1:22" ht="13.5" customHeight="1">
      <c r="A70" s="577">
        <v>57</v>
      </c>
      <c r="B70" s="584" t="s">
        <v>784</v>
      </c>
      <c r="C70" s="582">
        <v>2</v>
      </c>
      <c r="D70" s="580">
        <v>40</v>
      </c>
      <c r="E70" s="580">
        <v>216</v>
      </c>
      <c r="F70" s="580">
        <v>0</v>
      </c>
      <c r="G70" s="581">
        <f t="shared" si="0"/>
        <v>2</v>
      </c>
      <c r="H70" s="581">
        <f t="shared" si="5"/>
        <v>108</v>
      </c>
      <c r="I70" s="581">
        <f t="shared" si="5"/>
        <v>0</v>
      </c>
      <c r="J70" s="1749"/>
      <c r="K70" s="584" t="s">
        <v>785</v>
      </c>
      <c r="L70" s="582"/>
      <c r="M70" s="580">
        <v>38</v>
      </c>
      <c r="N70" s="580">
        <v>10.1</v>
      </c>
      <c r="O70" s="890">
        <f t="shared" si="4"/>
        <v>0</v>
      </c>
      <c r="P70" s="890">
        <f t="shared" si="4"/>
        <v>0</v>
      </c>
      <c r="Q70" s="891"/>
      <c r="R70" s="1754"/>
      <c r="S70" s="1752"/>
      <c r="T70" s="1752"/>
      <c r="U70" s="1753"/>
      <c r="V70" s="562"/>
    </row>
    <row r="71" spans="1:22" ht="13.5" customHeight="1">
      <c r="A71" s="577">
        <v>58</v>
      </c>
      <c r="B71" s="584" t="s">
        <v>786</v>
      </c>
      <c r="C71" s="582"/>
      <c r="D71" s="580">
        <v>20</v>
      </c>
      <c r="E71" s="580">
        <v>360</v>
      </c>
      <c r="F71" s="580">
        <v>40</v>
      </c>
      <c r="G71" s="581">
        <f t="shared" si="0"/>
        <v>0</v>
      </c>
      <c r="H71" s="581">
        <f t="shared" si="5"/>
        <v>0</v>
      </c>
      <c r="I71" s="581">
        <f t="shared" si="5"/>
        <v>0</v>
      </c>
      <c r="J71" s="1749"/>
      <c r="K71" s="584"/>
      <c r="L71" s="582"/>
      <c r="M71" s="580"/>
      <c r="N71" s="580"/>
      <c r="O71" s="890">
        <f t="shared" si="4"/>
        <v>0</v>
      </c>
      <c r="P71" s="890">
        <f t="shared" si="4"/>
        <v>0</v>
      </c>
      <c r="Q71" s="891"/>
      <c r="R71" s="1754"/>
      <c r="S71" s="1752"/>
      <c r="T71" s="1752"/>
      <c r="U71" s="1753"/>
      <c r="V71" s="562"/>
    </row>
    <row r="72" spans="1:22" ht="13.5" customHeight="1">
      <c r="A72" s="577">
        <v>59</v>
      </c>
      <c r="B72" s="584" t="s">
        <v>787</v>
      </c>
      <c r="C72" s="582"/>
      <c r="D72" s="580">
        <v>15</v>
      </c>
      <c r="E72" s="580">
        <v>112</v>
      </c>
      <c r="F72" s="580">
        <v>0</v>
      </c>
      <c r="G72" s="581">
        <f t="shared" si="0"/>
        <v>0</v>
      </c>
      <c r="H72" s="581">
        <f t="shared" si="5"/>
        <v>0</v>
      </c>
      <c r="I72" s="581">
        <f t="shared" si="5"/>
        <v>0</v>
      </c>
      <c r="J72" s="1749"/>
      <c r="K72" s="584"/>
      <c r="L72" s="582"/>
      <c r="M72" s="580"/>
      <c r="N72" s="580"/>
      <c r="O72" s="890">
        <f t="shared" si="4"/>
        <v>0</v>
      </c>
      <c r="P72" s="890">
        <f t="shared" si="4"/>
        <v>0</v>
      </c>
      <c r="Q72" s="891"/>
      <c r="R72" s="1754"/>
      <c r="S72" s="1752"/>
      <c r="T72" s="1752"/>
      <c r="U72" s="1753"/>
      <c r="V72" s="562"/>
    </row>
    <row r="73" spans="1:22" ht="13.5" customHeight="1">
      <c r="A73" s="577">
        <v>60</v>
      </c>
      <c r="B73" s="584"/>
      <c r="C73" s="582"/>
      <c r="D73" s="580"/>
      <c r="E73" s="580"/>
      <c r="F73" s="580"/>
      <c r="G73" s="581">
        <f t="shared" si="0"/>
        <v>0</v>
      </c>
      <c r="H73" s="581">
        <f t="shared" si="5"/>
        <v>0</v>
      </c>
      <c r="I73" s="581">
        <f t="shared" si="5"/>
        <v>0</v>
      </c>
      <c r="J73" s="1749"/>
      <c r="K73" s="584"/>
      <c r="L73" s="582"/>
      <c r="M73" s="580"/>
      <c r="N73" s="580"/>
      <c r="O73" s="890">
        <f t="shared" si="4"/>
        <v>0</v>
      </c>
      <c r="P73" s="890">
        <f t="shared" si="4"/>
        <v>0</v>
      </c>
      <c r="Q73" s="891"/>
      <c r="R73" s="1754"/>
      <c r="S73" s="1752"/>
      <c r="T73" s="1752"/>
      <c r="U73" s="1753"/>
      <c r="V73" s="562"/>
    </row>
    <row r="74" spans="1:22" ht="13.5" customHeight="1">
      <c r="A74" s="577">
        <v>61</v>
      </c>
      <c r="B74" s="584"/>
      <c r="C74" s="582"/>
      <c r="D74" s="580"/>
      <c r="E74" s="580"/>
      <c r="F74" s="580"/>
      <c r="G74" s="581">
        <f t="shared" si="0"/>
        <v>0</v>
      </c>
      <c r="H74" s="581">
        <f t="shared" si="5"/>
        <v>0</v>
      </c>
      <c r="I74" s="581">
        <f t="shared" si="5"/>
        <v>0</v>
      </c>
      <c r="J74" s="1749"/>
      <c r="K74" s="584" t="s">
        <v>788</v>
      </c>
      <c r="L74" s="582"/>
      <c r="M74" s="580">
        <v>100</v>
      </c>
      <c r="N74" s="580">
        <v>20</v>
      </c>
      <c r="O74" s="890">
        <f t="shared" ref="O74:P74" si="11">$L74*M74*25/100</f>
        <v>0</v>
      </c>
      <c r="P74" s="890">
        <f t="shared" si="11"/>
        <v>0</v>
      </c>
      <c r="Q74" s="891"/>
      <c r="R74" s="1754"/>
      <c r="S74" s="1752"/>
      <c r="T74" s="1752"/>
      <c r="U74" s="1753"/>
      <c r="V74" s="562"/>
    </row>
    <row r="75" spans="1:22" ht="13.5" customHeight="1">
      <c r="A75" s="577">
        <v>62</v>
      </c>
      <c r="B75" s="584" t="s">
        <v>789</v>
      </c>
      <c r="C75" s="582"/>
      <c r="D75" s="580">
        <v>18</v>
      </c>
      <c r="E75" s="580">
        <v>112</v>
      </c>
      <c r="F75" s="580">
        <v>3</v>
      </c>
      <c r="G75" s="581">
        <f t="shared" si="0"/>
        <v>0</v>
      </c>
      <c r="H75" s="581">
        <f t="shared" si="5"/>
        <v>0</v>
      </c>
      <c r="I75" s="581">
        <f t="shared" si="5"/>
        <v>0</v>
      </c>
      <c r="J75" s="1749"/>
      <c r="K75" s="586" t="s">
        <v>790</v>
      </c>
      <c r="L75" s="577" t="s">
        <v>791</v>
      </c>
      <c r="M75" s="577" t="s">
        <v>710</v>
      </c>
      <c r="N75" s="577" t="s">
        <v>711</v>
      </c>
      <c r="O75" s="587" t="s">
        <v>710</v>
      </c>
      <c r="P75" s="587" t="s">
        <v>711</v>
      </c>
      <c r="Q75" s="587" t="s">
        <v>792</v>
      </c>
      <c r="R75" s="577" t="s">
        <v>859</v>
      </c>
      <c r="S75" s="1755"/>
      <c r="T75" s="1756"/>
      <c r="U75" s="1757"/>
      <c r="V75" s="562"/>
    </row>
    <row r="76" spans="1:22" ht="13.5" customHeight="1">
      <c r="A76" s="577">
        <v>63</v>
      </c>
      <c r="B76" s="584" t="s">
        <v>793</v>
      </c>
      <c r="C76" s="582"/>
      <c r="D76" s="580">
        <v>40</v>
      </c>
      <c r="E76" s="580">
        <v>228</v>
      </c>
      <c r="F76" s="580">
        <v>0</v>
      </c>
      <c r="G76" s="581">
        <f t="shared" si="0"/>
        <v>0</v>
      </c>
      <c r="H76" s="581">
        <f t="shared" si="5"/>
        <v>0</v>
      </c>
      <c r="I76" s="581">
        <f t="shared" si="5"/>
        <v>0</v>
      </c>
      <c r="J76" s="1749"/>
      <c r="K76" s="584"/>
      <c r="L76" s="582"/>
      <c r="M76" s="580"/>
      <c r="N76" s="580"/>
      <c r="O76" s="583">
        <f t="shared" ref="O76:P82" si="12">$L76*M76*25/100</f>
        <v>0</v>
      </c>
      <c r="P76" s="583">
        <f t="shared" si="12"/>
        <v>0</v>
      </c>
      <c r="Q76" s="583">
        <f t="shared" ref="Q76:Q81" si="13">L76*R76</f>
        <v>0</v>
      </c>
      <c r="R76" s="580"/>
      <c r="S76" s="1758"/>
      <c r="T76" s="1756"/>
      <c r="U76" s="1757"/>
      <c r="V76" s="562"/>
    </row>
    <row r="77" spans="1:22" ht="13.5" customHeight="1">
      <c r="A77" s="577">
        <v>64</v>
      </c>
      <c r="B77" s="584" t="s">
        <v>794</v>
      </c>
      <c r="C77" s="582"/>
      <c r="D77" s="580">
        <v>40</v>
      </c>
      <c r="E77" s="580">
        <v>216</v>
      </c>
      <c r="F77" s="580">
        <v>0</v>
      </c>
      <c r="G77" s="581">
        <f t="shared" si="0"/>
        <v>0</v>
      </c>
      <c r="H77" s="581">
        <f t="shared" si="5"/>
        <v>0</v>
      </c>
      <c r="I77" s="581">
        <f t="shared" si="5"/>
        <v>0</v>
      </c>
      <c r="J77" s="1749"/>
      <c r="K77" s="584" t="s">
        <v>795</v>
      </c>
      <c r="L77" s="582"/>
      <c r="M77" s="580">
        <v>63</v>
      </c>
      <c r="N77" s="580">
        <v>3.0000000000000001E-3</v>
      </c>
      <c r="O77" s="583">
        <f t="shared" si="12"/>
        <v>0</v>
      </c>
      <c r="P77" s="583">
        <f t="shared" si="12"/>
        <v>0</v>
      </c>
      <c r="Q77" s="583">
        <f t="shared" si="13"/>
        <v>0</v>
      </c>
      <c r="R77" s="580">
        <v>50</v>
      </c>
      <c r="S77" s="1758"/>
      <c r="T77" s="1756"/>
      <c r="U77" s="1757"/>
      <c r="V77" s="562"/>
    </row>
    <row r="78" spans="1:22" ht="13.5" customHeight="1">
      <c r="A78" s="577">
        <v>65</v>
      </c>
      <c r="B78" s="588" t="s">
        <v>796</v>
      </c>
      <c r="C78" s="582"/>
      <c r="D78" s="580">
        <v>17</v>
      </c>
      <c r="E78" s="580">
        <v>160</v>
      </c>
      <c r="F78" s="580">
        <v>14</v>
      </c>
      <c r="G78" s="581">
        <f t="shared" si="0"/>
        <v>0</v>
      </c>
      <c r="H78" s="581">
        <f t="shared" si="5"/>
        <v>0</v>
      </c>
      <c r="I78" s="581">
        <f t="shared" si="5"/>
        <v>0</v>
      </c>
      <c r="J78" s="1749"/>
      <c r="K78" s="584" t="s">
        <v>797</v>
      </c>
      <c r="L78" s="582"/>
      <c r="M78" s="580">
        <v>16</v>
      </c>
      <c r="N78" s="580">
        <v>2E-3</v>
      </c>
      <c r="O78" s="583">
        <f t="shared" si="12"/>
        <v>0</v>
      </c>
      <c r="P78" s="583">
        <f t="shared" si="12"/>
        <v>0</v>
      </c>
      <c r="Q78" s="583">
        <f t="shared" si="13"/>
        <v>0</v>
      </c>
      <c r="R78" s="580">
        <v>30</v>
      </c>
      <c r="S78" s="1758"/>
      <c r="T78" s="1756"/>
      <c r="U78" s="1757"/>
      <c r="V78" s="562"/>
    </row>
    <row r="79" spans="1:22" ht="13.5" customHeight="1">
      <c r="A79" s="577">
        <v>66</v>
      </c>
      <c r="B79" s="588" t="s">
        <v>798</v>
      </c>
      <c r="C79" s="582"/>
      <c r="D79" s="580">
        <v>11.5</v>
      </c>
      <c r="E79" s="580">
        <v>82</v>
      </c>
      <c r="F79" s="580">
        <v>3</v>
      </c>
      <c r="G79" s="581">
        <f t="shared" ref="G79:G83" si="14">C79*D79/40</f>
        <v>0</v>
      </c>
      <c r="H79" s="581">
        <f t="shared" si="5"/>
        <v>0</v>
      </c>
      <c r="I79" s="581">
        <f t="shared" si="5"/>
        <v>0</v>
      </c>
      <c r="J79" s="1749"/>
      <c r="K79" s="584"/>
      <c r="L79" s="582"/>
      <c r="M79" s="580"/>
      <c r="N79" s="580"/>
      <c r="O79" s="583">
        <f t="shared" si="12"/>
        <v>0</v>
      </c>
      <c r="P79" s="583">
        <f t="shared" si="12"/>
        <v>0</v>
      </c>
      <c r="Q79" s="583">
        <f t="shared" si="13"/>
        <v>0</v>
      </c>
      <c r="R79" s="580"/>
      <c r="S79" s="1758"/>
      <c r="T79" s="1756"/>
      <c r="U79" s="1757"/>
      <c r="V79" s="562"/>
    </row>
    <row r="80" spans="1:22" ht="13.5" customHeight="1">
      <c r="A80" s="577">
        <v>67</v>
      </c>
      <c r="B80" s="584" t="s">
        <v>799</v>
      </c>
      <c r="C80" s="582"/>
      <c r="D80" s="580">
        <v>11.5</v>
      </c>
      <c r="E80" s="580">
        <v>80</v>
      </c>
      <c r="F80" s="580">
        <v>6</v>
      </c>
      <c r="G80" s="581">
        <f t="shared" si="14"/>
        <v>0</v>
      </c>
      <c r="H80" s="581">
        <f t="shared" si="5"/>
        <v>0</v>
      </c>
      <c r="I80" s="581">
        <f t="shared" si="5"/>
        <v>0</v>
      </c>
      <c r="J80" s="1749"/>
      <c r="K80" s="584"/>
      <c r="L80" s="582"/>
      <c r="M80" s="580"/>
      <c r="N80" s="580"/>
      <c r="O80" s="583">
        <f t="shared" si="12"/>
        <v>0</v>
      </c>
      <c r="P80" s="583">
        <f t="shared" si="12"/>
        <v>0</v>
      </c>
      <c r="Q80" s="583">
        <f t="shared" si="13"/>
        <v>0</v>
      </c>
      <c r="R80" s="580"/>
      <c r="S80" s="1758"/>
      <c r="T80" s="1756"/>
      <c r="U80" s="1757"/>
      <c r="V80" s="562"/>
    </row>
    <row r="81" spans="1:22" ht="13.5" customHeight="1">
      <c r="A81" s="577">
        <v>68</v>
      </c>
      <c r="B81" s="584"/>
      <c r="C81" s="582"/>
      <c r="D81" s="589"/>
      <c r="E81" s="580"/>
      <c r="F81" s="580"/>
      <c r="G81" s="581">
        <f t="shared" si="14"/>
        <v>0</v>
      </c>
      <c r="H81" s="581">
        <f t="shared" si="5"/>
        <v>0</v>
      </c>
      <c r="I81" s="581">
        <f t="shared" si="5"/>
        <v>0</v>
      </c>
      <c r="J81" s="1749"/>
      <c r="K81" s="584" t="s">
        <v>800</v>
      </c>
      <c r="L81" s="582"/>
      <c r="M81" s="580">
        <v>0</v>
      </c>
      <c r="N81" s="580">
        <v>0</v>
      </c>
      <c r="O81" s="583">
        <f t="shared" si="12"/>
        <v>0</v>
      </c>
      <c r="P81" s="583">
        <f t="shared" si="12"/>
        <v>0</v>
      </c>
      <c r="Q81" s="583">
        <f t="shared" si="13"/>
        <v>0</v>
      </c>
      <c r="R81" s="580">
        <v>25</v>
      </c>
      <c r="S81" s="1759"/>
      <c r="T81" s="1760"/>
      <c r="U81" s="1761"/>
      <c r="V81" s="562"/>
    </row>
    <row r="82" spans="1:22" ht="13.5" customHeight="1">
      <c r="A82" s="577">
        <v>69</v>
      </c>
      <c r="B82" s="584"/>
      <c r="C82" s="582"/>
      <c r="D82" s="589"/>
      <c r="E82" s="580"/>
      <c r="F82" s="580"/>
      <c r="G82" s="581">
        <f t="shared" si="14"/>
        <v>0</v>
      </c>
      <c r="H82" s="581">
        <f>$C82*E82*25/100</f>
        <v>0</v>
      </c>
      <c r="I82" s="581">
        <f>$C82*F82*25/100</f>
        <v>0</v>
      </c>
      <c r="J82" s="1749"/>
      <c r="K82" s="590" t="s">
        <v>801</v>
      </c>
      <c r="L82" s="582">
        <v>3</v>
      </c>
      <c r="M82" s="591">
        <v>0</v>
      </c>
      <c r="N82" s="591">
        <v>0</v>
      </c>
      <c r="O82" s="892">
        <f t="shared" si="12"/>
        <v>0</v>
      </c>
      <c r="P82" s="892">
        <f t="shared" si="12"/>
        <v>0</v>
      </c>
      <c r="Q82" s="892">
        <f>L82*R83</f>
        <v>36.500999999999998</v>
      </c>
      <c r="R82" s="1762" t="s">
        <v>992</v>
      </c>
      <c r="S82" s="1763"/>
      <c r="T82" s="1763"/>
      <c r="U82" s="1764"/>
      <c r="V82" s="562"/>
    </row>
    <row r="83" spans="1:22" ht="13.5" customHeight="1">
      <c r="A83" s="577">
        <v>70</v>
      </c>
      <c r="B83" s="584"/>
      <c r="C83" s="582"/>
      <c r="D83" s="589"/>
      <c r="E83" s="580"/>
      <c r="F83" s="580"/>
      <c r="G83" s="581">
        <f t="shared" si="14"/>
        <v>0</v>
      </c>
      <c r="H83" s="581">
        <f>$C83*E83*25/100</f>
        <v>0</v>
      </c>
      <c r="I83" s="581">
        <f>$C83*F83*25/100</f>
        <v>0</v>
      </c>
      <c r="J83" s="1750"/>
      <c r="K83" s="774" t="s">
        <v>860</v>
      </c>
      <c r="L83" s="580">
        <v>23</v>
      </c>
      <c r="M83" s="580">
        <v>23</v>
      </c>
      <c r="N83" s="580">
        <v>23</v>
      </c>
      <c r="O83" s="597">
        <f>SUM(O14:O82)</f>
        <v>144</v>
      </c>
      <c r="P83" s="597">
        <f>SUM(P14:P82)</f>
        <v>35.525000000000006</v>
      </c>
      <c r="Q83" s="597">
        <f>SUM(Q76:Q82)</f>
        <v>36.500999999999998</v>
      </c>
      <c r="R83" s="592">
        <f>L83*M83*N83/1000</f>
        <v>12.167</v>
      </c>
      <c r="S83" s="1765" t="s">
        <v>861</v>
      </c>
      <c r="T83" s="1766"/>
      <c r="U83" s="1767"/>
      <c r="V83" s="562"/>
    </row>
    <row r="84" spans="1:22" ht="13.5" customHeight="1">
      <c r="A84" s="593"/>
      <c r="B84" s="674"/>
      <c r="C84" s="959">
        <f>SUM(C14:C83)</f>
        <v>3</v>
      </c>
      <c r="D84" s="677"/>
      <c r="E84" s="678"/>
      <c r="F84" s="678"/>
      <c r="G84" s="679">
        <f>SUM(G14:G83)</f>
        <v>3</v>
      </c>
      <c r="H84" s="679">
        <f>SUM(H14:H83)</f>
        <v>163</v>
      </c>
      <c r="I84" s="679">
        <f>SUM(I14:I83)</f>
        <v>0</v>
      </c>
      <c r="J84" s="678"/>
      <c r="K84" s="678"/>
      <c r="L84" s="596">
        <f>SUM(L14:L74)</f>
        <v>8</v>
      </c>
      <c r="M84" s="594"/>
      <c r="N84" s="594"/>
      <c r="O84" s="893"/>
      <c r="P84" s="893"/>
      <c r="Q84" s="893"/>
      <c r="R84" s="675"/>
      <c r="S84" s="676"/>
      <c r="T84" s="676"/>
      <c r="U84" s="676"/>
      <c r="V84" s="562"/>
    </row>
    <row r="85" spans="1:22" ht="13.5" customHeight="1">
      <c r="A85" s="593"/>
      <c r="B85" s="1731" t="s">
        <v>178</v>
      </c>
      <c r="C85" s="599"/>
      <c r="D85" s="595"/>
      <c r="E85" s="595"/>
      <c r="F85" s="595"/>
      <c r="G85" s="595"/>
      <c r="H85" s="595"/>
      <c r="I85" s="595"/>
      <c r="J85" s="595"/>
      <c r="K85" s="595"/>
      <c r="L85" s="593"/>
      <c r="M85" s="593"/>
      <c r="N85" s="593"/>
      <c r="O85" s="598"/>
      <c r="P85" s="598"/>
      <c r="Q85" s="598"/>
      <c r="R85" s="672"/>
      <c r="S85" s="600"/>
      <c r="T85" s="600"/>
      <c r="U85" s="600"/>
      <c r="V85" s="562"/>
    </row>
    <row r="86" spans="1:22" ht="13.5" customHeight="1">
      <c r="A86" s="593"/>
      <c r="B86" s="1731"/>
      <c r="C86" s="599"/>
      <c r="D86" s="599"/>
      <c r="E86" s="599"/>
      <c r="F86" s="599"/>
      <c r="G86" s="599"/>
      <c r="H86" s="599"/>
      <c r="I86" s="599"/>
      <c r="J86" s="599"/>
      <c r="K86" s="958"/>
      <c r="L86" s="1732"/>
      <c r="M86" s="1732"/>
      <c r="N86" s="1732"/>
      <c r="O86" s="1732"/>
      <c r="P86" s="1732"/>
      <c r="Q86" s="1732"/>
      <c r="R86" s="1732"/>
      <c r="S86" s="1733" t="s">
        <v>627</v>
      </c>
      <c r="T86" s="1733"/>
      <c r="U86" s="1733"/>
      <c r="V86" s="562"/>
    </row>
    <row r="87" spans="1:22" ht="13.5" customHeight="1">
      <c r="A87" s="544"/>
      <c r="B87" s="1731"/>
      <c r="C87" s="599"/>
      <c r="D87" s="599"/>
      <c r="E87" s="599"/>
      <c r="F87" s="599"/>
      <c r="G87" s="599"/>
      <c r="H87" s="599"/>
      <c r="I87" s="599"/>
      <c r="J87" s="599"/>
      <c r="K87" s="599"/>
      <c r="L87" s="1728" t="s">
        <v>802</v>
      </c>
      <c r="M87" s="1728"/>
      <c r="N87" s="1728"/>
      <c r="O87" s="1728"/>
      <c r="P87" s="1728"/>
      <c r="Q87" s="1728"/>
      <c r="R87" s="1728"/>
      <c r="S87" s="1729" t="s">
        <v>36</v>
      </c>
      <c r="T87" s="1729"/>
      <c r="U87" s="1729"/>
      <c r="V87" s="562"/>
    </row>
    <row r="88" spans="1:22" ht="13.5" customHeight="1">
      <c r="A88" s="544"/>
      <c r="B88" s="1730" t="s">
        <v>865</v>
      </c>
      <c r="C88" s="1730"/>
      <c r="D88" s="1730"/>
      <c r="E88" s="1730"/>
      <c r="F88" s="1730"/>
      <c r="G88" s="1730"/>
      <c r="H88" s="1730"/>
      <c r="I88" s="1730"/>
      <c r="J88" s="1730"/>
      <c r="K88" s="1730"/>
      <c r="L88" s="1728" t="s">
        <v>803</v>
      </c>
      <c r="M88" s="1728"/>
      <c r="N88" s="1728"/>
      <c r="O88" s="1728"/>
      <c r="P88" s="1728"/>
      <c r="Q88" s="1728"/>
      <c r="R88" s="1728"/>
      <c r="S88" s="1729" t="s">
        <v>43</v>
      </c>
      <c r="T88" s="1729"/>
      <c r="U88" s="1729"/>
      <c r="V88" s="562"/>
    </row>
    <row r="89" spans="1:22">
      <c r="A89" s="562"/>
      <c r="B89" s="562"/>
      <c r="C89" s="562"/>
      <c r="D89" s="562"/>
      <c r="E89" s="562"/>
      <c r="F89" s="562"/>
      <c r="G89" s="562"/>
      <c r="H89" s="562"/>
      <c r="I89" s="562"/>
      <c r="J89" s="562"/>
      <c r="K89" s="562"/>
      <c r="L89" s="562"/>
      <c r="M89" s="562"/>
      <c r="N89" s="562"/>
      <c r="O89" s="562"/>
      <c r="P89" s="562"/>
      <c r="Q89" s="562"/>
      <c r="R89" s="671"/>
      <c r="S89" s="562"/>
      <c r="T89" s="562"/>
      <c r="U89" s="562"/>
      <c r="V89" s="562"/>
    </row>
  </sheetData>
  <sheetProtection password="FA80" sheet="1" objects="1" scenarios="1"/>
  <mergeCells count="33">
    <mergeCell ref="L7:U7"/>
    <mergeCell ref="A1:B1"/>
    <mergeCell ref="T1:U1"/>
    <mergeCell ref="N2:U2"/>
    <mergeCell ref="N3:U3"/>
    <mergeCell ref="D1:L1"/>
    <mergeCell ref="E2:K2"/>
    <mergeCell ref="N5:T5"/>
    <mergeCell ref="A4:E4"/>
    <mergeCell ref="F4:K4"/>
    <mergeCell ref="F5:K5"/>
    <mergeCell ref="F6:K6"/>
    <mergeCell ref="F7:K7"/>
    <mergeCell ref="J14:J83"/>
    <mergeCell ref="R14:U74"/>
    <mergeCell ref="S75:U81"/>
    <mergeCell ref="R82:U82"/>
    <mergeCell ref="S83:U83"/>
    <mergeCell ref="A9:U9"/>
    <mergeCell ref="A10:U10"/>
    <mergeCell ref="A12:B12"/>
    <mergeCell ref="J12:J13"/>
    <mergeCell ref="K12:K13"/>
    <mergeCell ref="R12:U13"/>
    <mergeCell ref="A13:B13"/>
    <mergeCell ref="L87:R87"/>
    <mergeCell ref="S87:U87"/>
    <mergeCell ref="B88:K88"/>
    <mergeCell ref="L88:R88"/>
    <mergeCell ref="S88:U88"/>
    <mergeCell ref="B85:B87"/>
    <mergeCell ref="L86:R86"/>
    <mergeCell ref="S86:U86"/>
  </mergeCells>
  <hyperlinks>
    <hyperlink ref="S87" r:id="rId1"/>
    <hyperlink ref="S88" r:id="rId2"/>
    <hyperlink ref="N3" r:id="rId3" display="www.petespintpot.co.uk/non-alcoholic.html"/>
    <hyperlink ref="N3:U3" r:id="rId4" display="www.petespintpot.co.uk/non-alcoholic.html"/>
    <hyperlink ref="N2" r:id="rId5" display="www.petespintpot.co.uk/alcoholic-cocktails.html"/>
  </hyperlinks>
  <printOptions horizontalCentered="1"/>
  <pageMargins left="0.31496062992125984" right="0.31496062992125984" top="0.39370078740157483" bottom="0.6692913385826772" header="0.27559055118110237" footer="0.62992125984251968"/>
  <pageSetup paperSize="9" scale="65" orientation="portrait" horizontalDpi="30066" verticalDpi="26478" r:id="rId6"/>
  <headerFooter alignWithMargins="0"/>
  <drawing r:id="rId7"/>
</worksheet>
</file>

<file path=xl/worksheets/sheet6.xml><?xml version="1.0" encoding="utf-8"?>
<worksheet xmlns="http://schemas.openxmlformats.org/spreadsheetml/2006/main" xmlns:r="http://schemas.openxmlformats.org/officeDocument/2006/relationships">
  <sheetPr>
    <tabColor theme="9" tint="-0.249977111117893"/>
    <pageSetUpPr fitToPage="1"/>
  </sheetPr>
  <dimension ref="A1:R98"/>
  <sheetViews>
    <sheetView zoomScale="78" zoomScaleNormal="78" zoomScaleSheetLayoutView="77" workbookViewId="0">
      <pane ySplit="19" topLeftCell="A20" activePane="bottomLeft" state="frozen"/>
      <selection pane="bottomLeft" activeCell="F6" sqref="F6"/>
    </sheetView>
  </sheetViews>
  <sheetFormatPr defaultColWidth="10" defaultRowHeight="15"/>
  <cols>
    <col min="1" max="1" width="21.42578125" style="681" customWidth="1"/>
    <col min="2" max="2" width="12.5703125" style="681" customWidth="1"/>
    <col min="3" max="5" width="7.7109375" style="681" customWidth="1"/>
    <col min="6" max="7" width="7.7109375" style="682" customWidth="1"/>
    <col min="8" max="8" width="7.85546875" style="682" customWidth="1"/>
    <col min="9" max="10" width="6.85546875" style="681" hidden="1" customWidth="1"/>
    <col min="11" max="11" width="7" style="681" hidden="1" customWidth="1"/>
    <col min="12" max="12" width="8.85546875" style="681" customWidth="1"/>
    <col min="13" max="13" width="8.85546875" style="681" hidden="1" customWidth="1"/>
    <col min="14" max="14" width="9.28515625" style="681" customWidth="1"/>
    <col min="15" max="15" width="9" style="682" customWidth="1"/>
    <col min="16" max="16" width="42.140625" style="682" customWidth="1"/>
    <col min="17" max="17" width="21.85546875" style="682" customWidth="1"/>
    <col min="18" max="18" width="3.7109375" style="682" customWidth="1"/>
    <col min="19" max="16384" width="10" style="680"/>
  </cols>
  <sheetData>
    <row r="1" spans="1:18" ht="28.5" customHeight="1">
      <c r="A1" s="953" t="s">
        <v>970</v>
      </c>
      <c r="B1" s="4"/>
      <c r="C1" s="4"/>
      <c r="D1" s="4"/>
      <c r="E1" s="4"/>
      <c r="F1" s="629"/>
      <c r="G1" s="1780" t="s">
        <v>946</v>
      </c>
      <c r="H1" s="1780"/>
      <c r="I1" s="1780"/>
      <c r="J1" s="1780"/>
      <c r="K1" s="1780"/>
      <c r="L1" s="1780"/>
      <c r="M1" s="1780"/>
      <c r="N1" s="1780"/>
      <c r="O1" s="1780"/>
      <c r="P1" s="5"/>
      <c r="Q1" s="105" t="s">
        <v>969</v>
      </c>
      <c r="R1" s="105"/>
    </row>
    <row r="2" spans="1:18" ht="11.25" customHeight="1">
      <c r="A2" s="851"/>
      <c r="B2" s="4"/>
      <c r="C2" s="4"/>
      <c r="D2" s="4"/>
      <c r="E2" s="4"/>
      <c r="F2" s="629"/>
      <c r="G2" s="629"/>
      <c r="H2" s="629"/>
      <c r="I2" s="47" t="s">
        <v>262</v>
      </c>
      <c r="J2" s="47" t="s">
        <v>262</v>
      </c>
      <c r="K2" s="47" t="s">
        <v>262</v>
      </c>
      <c r="L2" s="111"/>
      <c r="M2" s="47" t="s">
        <v>406</v>
      </c>
      <c r="N2" s="111"/>
      <c r="O2" s="629"/>
      <c r="P2" s="5"/>
      <c r="Q2" s="869" t="s">
        <v>36</v>
      </c>
      <c r="R2" s="105"/>
    </row>
    <row r="3" spans="1:18" ht="14.45" customHeight="1">
      <c r="A3" s="1782" t="s">
        <v>804</v>
      </c>
      <c r="B3" s="1782"/>
      <c r="C3" s="1783" t="s">
        <v>580</v>
      </c>
      <c r="D3" s="1783"/>
      <c r="E3" s="1783"/>
      <c r="F3" s="1783"/>
      <c r="G3" s="1783"/>
      <c r="H3" s="629"/>
      <c r="I3" s="47"/>
      <c r="J3" s="47"/>
      <c r="K3" s="47"/>
      <c r="L3" s="1781" t="s">
        <v>343</v>
      </c>
      <c r="M3" s="1781"/>
      <c r="N3" s="1781"/>
      <c r="O3" s="1781"/>
      <c r="P3" s="1781"/>
      <c r="Q3" s="852"/>
      <c r="R3" s="105"/>
    </row>
    <row r="4" spans="1:18" ht="6" customHeight="1">
      <c r="A4" s="851"/>
      <c r="B4" s="4"/>
      <c r="C4" s="4"/>
      <c r="D4" s="4"/>
      <c r="E4" s="4"/>
      <c r="F4" s="629"/>
      <c r="G4" s="629"/>
      <c r="H4" s="629"/>
      <c r="I4" s="47"/>
      <c r="J4" s="47"/>
      <c r="K4" s="47"/>
      <c r="L4" s="111"/>
      <c r="M4" s="47"/>
      <c r="N4" s="18"/>
      <c r="O4" s="629"/>
      <c r="P4" s="854"/>
      <c r="Q4" s="852"/>
      <c r="R4" s="105"/>
    </row>
    <row r="5" spans="1:18" ht="15" customHeight="1">
      <c r="A5" s="1518" t="s">
        <v>805</v>
      </c>
      <c r="B5" s="1518"/>
      <c r="C5" s="230">
        <f>1*FIXED((SUM(M20:M81)),-1)</f>
        <v>610</v>
      </c>
      <c r="D5" s="841" t="s">
        <v>51</v>
      </c>
      <c r="E5" s="843"/>
      <c r="F5" s="843"/>
      <c r="G5" s="843"/>
      <c r="H5" s="231"/>
      <c r="I5" s="142"/>
      <c r="J5" s="337" t="s">
        <v>806</v>
      </c>
      <c r="K5" s="337"/>
      <c r="L5" s="1779" t="s">
        <v>806</v>
      </c>
      <c r="M5" s="1779"/>
      <c r="N5" s="1779"/>
      <c r="O5" s="1779"/>
      <c r="P5" s="1779"/>
      <c r="Q5" s="229"/>
      <c r="R5" s="105"/>
    </row>
    <row r="6" spans="1:18" ht="15" customHeight="1">
      <c r="A6" s="1526" t="s">
        <v>807</v>
      </c>
      <c r="B6" s="1526"/>
      <c r="C6" s="230" t="str">
        <f>FIXED((10+SUM(K20:K81)),-1)</f>
        <v>10</v>
      </c>
      <c r="D6" s="841" t="s">
        <v>70</v>
      </c>
      <c r="E6" s="843"/>
      <c r="F6" s="843"/>
      <c r="G6" s="843"/>
      <c r="H6" s="232"/>
      <c r="I6" s="142"/>
      <c r="J6" s="337" t="s">
        <v>808</v>
      </c>
      <c r="K6" s="337"/>
      <c r="L6" s="1779" t="s">
        <v>808</v>
      </c>
      <c r="M6" s="1779"/>
      <c r="N6" s="1779"/>
      <c r="O6" s="1779"/>
      <c r="P6" s="1779"/>
      <c r="Q6" s="229"/>
      <c r="R6" s="105"/>
    </row>
    <row r="7" spans="1:18" ht="6" customHeight="1">
      <c r="A7" s="463"/>
      <c r="B7" s="463"/>
      <c r="C7" s="463"/>
      <c r="D7" s="463"/>
      <c r="E7" s="463"/>
      <c r="F7" s="463"/>
      <c r="G7" s="463"/>
      <c r="H7" s="463"/>
      <c r="I7" s="463"/>
      <c r="J7" s="463"/>
      <c r="K7" s="463"/>
      <c r="L7" s="463"/>
      <c r="M7" s="463"/>
      <c r="N7" s="463"/>
      <c r="O7" s="463"/>
      <c r="P7" s="463"/>
      <c r="Q7" s="463"/>
      <c r="R7" s="105"/>
    </row>
    <row r="8" spans="1:18" ht="15" customHeight="1">
      <c r="A8" s="1518" t="s">
        <v>809</v>
      </c>
      <c r="B8" s="1518"/>
      <c r="C8" s="81">
        <v>8</v>
      </c>
      <c r="D8" s="1784" t="str">
        <f>"g ≈ "&amp;FIXED(C8/4.75)&amp;" level 5ml tsp."</f>
        <v>g ≈ 1.68 level 5ml tsp.</v>
      </c>
      <c r="E8" s="1784"/>
      <c r="F8" s="1784"/>
      <c r="G8" s="1784"/>
      <c r="H8" s="870"/>
      <c r="I8" s="510"/>
      <c r="J8" s="510"/>
      <c r="K8" s="510"/>
      <c r="L8" s="696"/>
      <c r="M8" s="510"/>
      <c r="N8" s="4"/>
      <c r="O8" s="4"/>
      <c r="P8" s="629"/>
      <c r="Q8" s="229"/>
      <c r="R8" s="105"/>
    </row>
    <row r="9" spans="1:18" ht="15" customHeight="1">
      <c r="A9" s="843"/>
      <c r="B9" s="843"/>
      <c r="C9" s="846" t="s">
        <v>105</v>
      </c>
      <c r="D9" s="1785" t="str">
        <f>"   ≈ "&amp;FIXED(C8/5)*8&amp;" tsp lemon juice (about "&amp;FIXED((C8*8/5/6),1)&amp;" lemons)"</f>
        <v xml:space="preserve">   ≈ 12.8 tsp lemon juice (about 2.1 lemons)</v>
      </c>
      <c r="E9" s="1785"/>
      <c r="F9" s="1785"/>
      <c r="G9" s="1785"/>
      <c r="H9" s="1785"/>
      <c r="I9" s="510"/>
      <c r="J9" s="510"/>
      <c r="K9" s="510"/>
      <c r="L9" s="1786" t="s">
        <v>891</v>
      </c>
      <c r="M9" s="1786"/>
      <c r="N9" s="1786"/>
      <c r="O9" s="1786"/>
      <c r="P9" s="1786"/>
      <c r="Q9" s="229"/>
      <c r="R9" s="105"/>
    </row>
    <row r="10" spans="1:18" ht="15" customHeight="1">
      <c r="A10" s="1526" t="s">
        <v>810</v>
      </c>
      <c r="B10" s="1526"/>
      <c r="C10" s="81"/>
      <c r="D10" s="1787" t="str">
        <f>"g ≈ "&amp;FIXED(C10/4.5)&amp;" level 5ml tsp."</f>
        <v>g ≈ 0.00 level 5ml tsp.</v>
      </c>
      <c r="E10" s="1787"/>
      <c r="F10" s="1787"/>
      <c r="G10" s="1787"/>
      <c r="H10" s="1787"/>
      <c r="I10" s="233"/>
      <c r="J10" s="233"/>
      <c r="K10" s="233"/>
      <c r="L10" s="1786"/>
      <c r="M10" s="1786"/>
      <c r="N10" s="1786"/>
      <c r="O10" s="1786"/>
      <c r="P10" s="1786"/>
      <c r="Q10" s="229"/>
      <c r="R10" s="105"/>
    </row>
    <row r="11" spans="1:18" ht="13.9" customHeight="1">
      <c r="A11" s="846"/>
      <c r="B11" s="846"/>
      <c r="C11" s="846" t="s">
        <v>105</v>
      </c>
      <c r="D11" s="1788" t="str">
        <f>"   ≈ "&amp;FIXED(3*C10/4.5)&amp;" tsp. liquid."</f>
        <v xml:space="preserve">   ≈ 0.00 tsp. liquid.</v>
      </c>
      <c r="E11" s="1788"/>
      <c r="F11" s="1788"/>
      <c r="G11" s="1788"/>
      <c r="H11" s="1788"/>
      <c r="I11" s="234"/>
      <c r="J11" s="234"/>
      <c r="K11" s="234"/>
      <c r="L11" s="843"/>
      <c r="M11" s="234"/>
      <c r="N11" s="1048" t="s">
        <v>991</v>
      </c>
      <c r="O11" s="511"/>
      <c r="P11" s="234"/>
      <c r="Q11" s="234"/>
      <c r="R11" s="105"/>
    </row>
    <row r="12" spans="1:18" ht="6" customHeight="1">
      <c r="A12" s="846"/>
      <c r="B12" s="846"/>
      <c r="C12" s="683"/>
      <c r="D12" s="683"/>
      <c r="E12" s="683"/>
      <c r="F12" s="683"/>
      <c r="G12" s="683"/>
      <c r="H12" s="683"/>
      <c r="I12" s="683"/>
      <c r="J12" s="683"/>
      <c r="K12" s="683"/>
      <c r="L12" s="683"/>
      <c r="M12" s="234"/>
      <c r="N12" s="234"/>
      <c r="O12" s="233"/>
      <c r="P12" s="233"/>
      <c r="Q12" s="229"/>
      <c r="R12" s="105"/>
    </row>
    <row r="13" spans="1:18" ht="15" customHeight="1">
      <c r="A13" s="1526" t="s">
        <v>811</v>
      </c>
      <c r="B13" s="1526"/>
      <c r="C13" s="684">
        <f>C8+SUM(J20:J81)</f>
        <v>12.2</v>
      </c>
      <c r="D13" s="1789" t="str">
        <f>"g = "&amp;FIXED(100*$C$13/$C$15)&amp;"%. Which is"</f>
        <v>g = 1.15%. Which is</v>
      </c>
      <c r="E13" s="1789"/>
      <c r="F13" s="1789"/>
      <c r="G13" s="1790" t="str">
        <f>IF((100*$C$13/$C$15)&gt;1.3,"Very High",IF((100*$C$13/$C$15)&gt;1.1,"High",IF((100*$C$13/$C$15)&gt;0.69,"Medium",IF((100*$C$13/$C$15)&gt;0.49,"Low",IF((100*$C$13/$C$15)&gt;0,"Very Low")))))</f>
        <v>High</v>
      </c>
      <c r="H13" s="1790"/>
      <c r="I13" s="234" t="s">
        <v>812</v>
      </c>
      <c r="J13" s="234"/>
      <c r="K13" s="234"/>
      <c r="L13" s="1791" t="s">
        <v>892</v>
      </c>
      <c r="M13" s="1791"/>
      <c r="N13" s="1791"/>
      <c r="O13" s="1791"/>
      <c r="P13" s="1791"/>
      <c r="Q13" s="143"/>
      <c r="R13" s="105"/>
    </row>
    <row r="14" spans="1:18" ht="15" customHeight="1">
      <c r="A14" s="1526" t="s">
        <v>813</v>
      </c>
      <c r="B14" s="1526"/>
      <c r="C14" s="684">
        <f>C10+SUM(I20:I81)</f>
        <v>3.5</v>
      </c>
      <c r="D14" s="1789" t="str">
        <f>"g = "&amp;FIXED(100*$C$14/$C$15)&amp;"%. Which is"</f>
        <v>g = 0.33%. Which is</v>
      </c>
      <c r="E14" s="1789"/>
      <c r="F14" s="1789"/>
      <c r="G14" s="1790" t="str">
        <f>IF((100*$C$14/$C$15)&gt;0.89,"Very High",IF((100*$C$14/$C$15)&gt;0.59,"High",IF((100*$C$14/$C$15)&gt;0.29,"Medium",IF((100*$C$14/$C$15)&gt;0.19,"Low",IF((100*$C$14/$C$15)&gt;0,"Very Low")))))</f>
        <v>Medium</v>
      </c>
      <c r="H14" s="1790"/>
      <c r="I14" s="234"/>
      <c r="J14" s="234"/>
      <c r="K14" s="234"/>
      <c r="L14" s="1791"/>
      <c r="M14" s="1791"/>
      <c r="N14" s="1791"/>
      <c r="O14" s="1791"/>
      <c r="P14" s="1791"/>
      <c r="Q14" s="143"/>
      <c r="R14" s="105"/>
    </row>
    <row r="15" spans="1:18" ht="15" customHeight="1">
      <c r="A15" s="1526" t="s">
        <v>814</v>
      </c>
      <c r="B15" s="1526"/>
      <c r="C15" s="230">
        <f>1*FIXED((0.58*C5+C6+SUM(E20:E81)),0)</f>
        <v>1064</v>
      </c>
      <c r="D15" s="1797" t="s">
        <v>815</v>
      </c>
      <c r="E15" s="1797"/>
      <c r="F15" s="1797"/>
      <c r="G15" s="1797"/>
      <c r="H15" s="1797"/>
      <c r="I15" s="843"/>
      <c r="J15" s="21"/>
      <c r="K15" s="21"/>
      <c r="L15" s="1817" t="e">
        <f>FIXED((0.1*AW29/AW30)*AM26,1)*10&amp;" WE"</f>
        <v>#DIV/0!</v>
      </c>
      <c r="M15" s="1817"/>
      <c r="N15" s="1817"/>
      <c r="O15" s="1817"/>
      <c r="P15" s="1798" t="s">
        <v>178</v>
      </c>
      <c r="Q15" s="235"/>
      <c r="R15" s="105"/>
    </row>
    <row r="16" spans="1:18" ht="15" customHeight="1">
      <c r="A16" s="1799" t="s">
        <v>816</v>
      </c>
      <c r="B16" s="1091"/>
      <c r="C16" s="236">
        <f>0.002*C15</f>
        <v>2.1280000000000001</v>
      </c>
      <c r="D16" s="1800" t="s">
        <v>817</v>
      </c>
      <c r="E16" s="1800"/>
      <c r="F16" s="1800"/>
      <c r="G16" s="1800"/>
      <c r="H16" s="1800"/>
      <c r="I16" s="1800"/>
      <c r="J16" s="1800"/>
      <c r="K16" s="1800"/>
      <c r="L16" s="1800"/>
      <c r="M16" s="21"/>
      <c r="N16" s="21"/>
      <c r="O16" s="21"/>
      <c r="P16" s="1798"/>
      <c r="Q16" s="21"/>
      <c r="R16" s="105"/>
    </row>
    <row r="17" spans="1:18" ht="6" customHeight="1">
      <c r="A17" s="237"/>
      <c r="B17" s="843"/>
      <c r="C17" s="843"/>
      <c r="D17" s="843"/>
      <c r="E17" s="843"/>
      <c r="F17" s="843"/>
      <c r="G17" s="843"/>
      <c r="H17" s="843"/>
      <c r="I17" s="843"/>
      <c r="J17" s="21"/>
      <c r="K17" s="21"/>
      <c r="L17" s="21"/>
      <c r="M17" s="21"/>
      <c r="N17" s="21"/>
      <c r="O17" s="843"/>
      <c r="P17" s="1798"/>
      <c r="Q17" s="229"/>
      <c r="R17" s="105"/>
    </row>
    <row r="18" spans="1:18" ht="15" customHeight="1">
      <c r="A18" s="1801" t="s">
        <v>818</v>
      </c>
      <c r="B18" s="1802"/>
      <c r="C18" s="238" t="s">
        <v>52</v>
      </c>
      <c r="D18" s="238" t="s">
        <v>819</v>
      </c>
      <c r="E18" s="238" t="s">
        <v>820</v>
      </c>
      <c r="F18" s="239" t="s">
        <v>320</v>
      </c>
      <c r="G18" s="240" t="s">
        <v>323</v>
      </c>
      <c r="H18" s="88" t="s">
        <v>821</v>
      </c>
      <c r="I18" s="845" t="s">
        <v>323</v>
      </c>
      <c r="J18" s="845" t="s">
        <v>320</v>
      </c>
      <c r="K18" s="241" t="s">
        <v>821</v>
      </c>
      <c r="L18" s="88" t="s">
        <v>319</v>
      </c>
      <c r="M18" s="242" t="s">
        <v>319</v>
      </c>
      <c r="N18" s="88" t="s">
        <v>822</v>
      </c>
      <c r="O18" s="855"/>
      <c r="P18" s="843"/>
      <c r="Q18" s="843"/>
      <c r="R18" s="105"/>
    </row>
    <row r="19" spans="1:18" ht="15.75">
      <c r="A19" s="1803"/>
      <c r="B19" s="1804"/>
      <c r="C19" s="89" t="s">
        <v>51</v>
      </c>
      <c r="D19" s="89" t="s">
        <v>823</v>
      </c>
      <c r="E19" s="89" t="s">
        <v>52</v>
      </c>
      <c r="F19" s="89" t="s">
        <v>301</v>
      </c>
      <c r="G19" s="83" t="s">
        <v>301</v>
      </c>
      <c r="H19" s="90" t="s">
        <v>823</v>
      </c>
      <c r="I19" s="243" t="s">
        <v>51</v>
      </c>
      <c r="J19" s="243" t="s">
        <v>51</v>
      </c>
      <c r="K19" s="244" t="s">
        <v>824</v>
      </c>
      <c r="L19" s="90" t="s">
        <v>823</v>
      </c>
      <c r="M19" s="245" t="s">
        <v>825</v>
      </c>
      <c r="N19" s="90" t="s">
        <v>826</v>
      </c>
      <c r="O19" s="1794" t="s">
        <v>827</v>
      </c>
      <c r="P19" s="1795"/>
      <c r="Q19" s="1795"/>
      <c r="R19" s="105"/>
    </row>
    <row r="20" spans="1:18">
      <c r="A20" s="246" t="s">
        <v>347</v>
      </c>
      <c r="B20" s="247" t="s">
        <v>828</v>
      </c>
      <c r="C20" s="159"/>
      <c r="D20" s="389">
        <v>1.2</v>
      </c>
      <c r="E20" s="900">
        <f t="shared" ref="E20:E81" si="0">IF(D20=0,0,C20/D20)</f>
        <v>0</v>
      </c>
      <c r="F20" s="389">
        <v>1.2</v>
      </c>
      <c r="G20" s="389">
        <v>0.75</v>
      </c>
      <c r="H20" s="389">
        <v>0</v>
      </c>
      <c r="I20" s="389">
        <f t="shared" ref="I20:I81" si="1">0.01*C20*D20*G20</f>
        <v>0</v>
      </c>
      <c r="J20" s="389">
        <f t="shared" ref="J20:J36" si="2">0.01*C20*D20*F20</f>
        <v>0</v>
      </c>
      <c r="K20" s="389">
        <f t="shared" ref="K20:K81" si="3">H20*E20</f>
        <v>0</v>
      </c>
      <c r="L20" s="389">
        <v>1</v>
      </c>
      <c r="M20" s="389">
        <f t="shared" ref="M20:M51" si="4">E20*L20</f>
        <v>0</v>
      </c>
      <c r="N20" s="389">
        <v>30</v>
      </c>
      <c r="O20" s="3"/>
      <c r="P20" s="9"/>
      <c r="Q20" s="9"/>
      <c r="R20" s="105"/>
    </row>
    <row r="21" spans="1:18">
      <c r="A21" s="246" t="s">
        <v>372</v>
      </c>
      <c r="B21" s="247" t="s">
        <v>829</v>
      </c>
      <c r="C21" s="485"/>
      <c r="D21" s="390">
        <v>1.2</v>
      </c>
      <c r="E21" s="391">
        <f t="shared" si="0"/>
        <v>0</v>
      </c>
      <c r="F21" s="390">
        <v>0.7</v>
      </c>
      <c r="G21" s="392">
        <v>0.7</v>
      </c>
      <c r="H21" s="390">
        <v>0</v>
      </c>
      <c r="I21" s="390">
        <f t="shared" si="1"/>
        <v>0</v>
      </c>
      <c r="J21" s="390">
        <f t="shared" si="2"/>
        <v>0</v>
      </c>
      <c r="K21" s="390">
        <f t="shared" si="3"/>
        <v>0</v>
      </c>
      <c r="L21" s="390">
        <v>1</v>
      </c>
      <c r="M21" s="390">
        <f t="shared" si="4"/>
        <v>0</v>
      </c>
      <c r="N21" s="390">
        <v>30</v>
      </c>
      <c r="O21" s="3"/>
      <c r="P21" s="9"/>
      <c r="Q21" s="9"/>
      <c r="R21" s="105"/>
    </row>
    <row r="22" spans="1:18">
      <c r="A22" s="246" t="s">
        <v>359</v>
      </c>
      <c r="B22" s="246" t="s">
        <v>830</v>
      </c>
      <c r="C22" s="485"/>
      <c r="D22" s="390">
        <v>1.1000000000000001</v>
      </c>
      <c r="E22" s="391">
        <f t="shared" si="0"/>
        <v>0</v>
      </c>
      <c r="F22" s="390">
        <v>1.2</v>
      </c>
      <c r="G22" s="392">
        <v>0.35</v>
      </c>
      <c r="H22" s="390">
        <v>0.09</v>
      </c>
      <c r="I22" s="390">
        <f t="shared" si="1"/>
        <v>0</v>
      </c>
      <c r="J22" s="390">
        <f t="shared" si="2"/>
        <v>0</v>
      </c>
      <c r="K22" s="390">
        <f t="shared" si="3"/>
        <v>0</v>
      </c>
      <c r="L22" s="390">
        <v>0.85</v>
      </c>
      <c r="M22" s="390">
        <f t="shared" si="4"/>
        <v>0</v>
      </c>
      <c r="N22" s="390">
        <v>35</v>
      </c>
      <c r="O22" s="3"/>
      <c r="P22" s="9"/>
      <c r="Q22" s="9"/>
      <c r="R22" s="105"/>
    </row>
    <row r="23" spans="1:18">
      <c r="A23" s="246" t="s">
        <v>893</v>
      </c>
      <c r="B23" s="246" t="s">
        <v>831</v>
      </c>
      <c r="C23" s="485"/>
      <c r="D23" s="390">
        <v>1.1000000000000001</v>
      </c>
      <c r="E23" s="391">
        <f t="shared" si="0"/>
        <v>0</v>
      </c>
      <c r="F23" s="390">
        <v>1.2</v>
      </c>
      <c r="G23" s="392">
        <v>0.35</v>
      </c>
      <c r="H23" s="390">
        <v>0.15</v>
      </c>
      <c r="I23" s="390">
        <f t="shared" si="1"/>
        <v>0</v>
      </c>
      <c r="J23" s="390">
        <f t="shared" si="2"/>
        <v>0</v>
      </c>
      <c r="K23" s="390">
        <f t="shared" si="3"/>
        <v>0</v>
      </c>
      <c r="L23" s="390">
        <v>0.85</v>
      </c>
      <c r="M23" s="390">
        <f t="shared" si="4"/>
        <v>0</v>
      </c>
      <c r="N23" s="390">
        <v>35</v>
      </c>
      <c r="O23" s="3"/>
      <c r="P23" s="9"/>
      <c r="Q23" s="9"/>
      <c r="R23" s="105"/>
    </row>
    <row r="24" spans="1:18">
      <c r="A24" s="246" t="s">
        <v>893</v>
      </c>
      <c r="B24" s="247" t="s">
        <v>364</v>
      </c>
      <c r="C24" s="485"/>
      <c r="D24" s="390">
        <v>1</v>
      </c>
      <c r="E24" s="391">
        <f t="shared" si="0"/>
        <v>0</v>
      </c>
      <c r="F24" s="390">
        <v>3.6</v>
      </c>
      <c r="G24" s="392">
        <v>1.05</v>
      </c>
      <c r="H24" s="390">
        <v>3</v>
      </c>
      <c r="I24" s="390">
        <f t="shared" si="1"/>
        <v>0</v>
      </c>
      <c r="J24" s="390">
        <f t="shared" si="2"/>
        <v>0</v>
      </c>
      <c r="K24" s="390">
        <f t="shared" si="3"/>
        <v>0</v>
      </c>
      <c r="L24" s="390">
        <v>2</v>
      </c>
      <c r="M24" s="390">
        <f t="shared" si="4"/>
        <v>0</v>
      </c>
      <c r="N24" s="390" t="s">
        <v>832</v>
      </c>
      <c r="O24" s="3"/>
      <c r="P24" s="9"/>
      <c r="Q24" s="9"/>
      <c r="R24" s="105"/>
    </row>
    <row r="25" spans="1:18">
      <c r="A25" s="246" t="s">
        <v>833</v>
      </c>
      <c r="B25" s="247" t="s">
        <v>360</v>
      </c>
      <c r="C25" s="485"/>
      <c r="D25" s="390">
        <v>1.5</v>
      </c>
      <c r="E25" s="391">
        <f t="shared" si="0"/>
        <v>0</v>
      </c>
      <c r="F25" s="390">
        <v>0.35</v>
      </c>
      <c r="G25" s="390">
        <v>0.55000000000000004</v>
      </c>
      <c r="H25" s="390">
        <v>0</v>
      </c>
      <c r="I25" s="390">
        <f t="shared" si="1"/>
        <v>0</v>
      </c>
      <c r="J25" s="390">
        <f t="shared" si="2"/>
        <v>0</v>
      </c>
      <c r="K25" s="390">
        <f t="shared" si="3"/>
        <v>0</v>
      </c>
      <c r="L25" s="390">
        <v>1</v>
      </c>
      <c r="M25" s="390">
        <f t="shared" si="4"/>
        <v>0</v>
      </c>
      <c r="N25" s="390">
        <v>30</v>
      </c>
      <c r="O25" s="3"/>
      <c r="P25" s="9"/>
      <c r="Q25" s="9"/>
      <c r="R25" s="105"/>
    </row>
    <row r="26" spans="1:18">
      <c r="A26" s="246" t="s">
        <v>375</v>
      </c>
      <c r="B26" s="246"/>
      <c r="C26" s="485"/>
      <c r="D26" s="390">
        <v>1</v>
      </c>
      <c r="E26" s="391">
        <f t="shared" si="0"/>
        <v>0</v>
      </c>
      <c r="F26" s="390">
        <v>0.95</v>
      </c>
      <c r="G26" s="392">
        <v>0.8</v>
      </c>
      <c r="H26" s="390">
        <v>0</v>
      </c>
      <c r="I26" s="390">
        <f t="shared" si="1"/>
        <v>0</v>
      </c>
      <c r="J26" s="390">
        <f t="shared" si="2"/>
        <v>0</v>
      </c>
      <c r="K26" s="390">
        <f t="shared" si="3"/>
        <v>0</v>
      </c>
      <c r="L26" s="390">
        <v>1</v>
      </c>
      <c r="M26" s="390">
        <f t="shared" si="4"/>
        <v>0</v>
      </c>
      <c r="N26" s="390">
        <v>20</v>
      </c>
      <c r="O26" s="3"/>
      <c r="P26" s="9"/>
      <c r="Q26" s="9"/>
      <c r="R26" s="105"/>
    </row>
    <row r="27" spans="1:18">
      <c r="A27" s="246" t="s">
        <v>381</v>
      </c>
      <c r="B27" s="246"/>
      <c r="C27" s="485"/>
      <c r="D27" s="390">
        <v>1</v>
      </c>
      <c r="E27" s="391">
        <f t="shared" si="0"/>
        <v>0</v>
      </c>
      <c r="F27" s="390">
        <v>1.1000000000000001</v>
      </c>
      <c r="G27" s="390">
        <v>0.8</v>
      </c>
      <c r="H27" s="390">
        <v>0</v>
      </c>
      <c r="I27" s="390">
        <f t="shared" si="1"/>
        <v>0</v>
      </c>
      <c r="J27" s="390">
        <f t="shared" si="2"/>
        <v>0</v>
      </c>
      <c r="K27" s="390">
        <f t="shared" si="3"/>
        <v>0</v>
      </c>
      <c r="L27" s="390">
        <v>1</v>
      </c>
      <c r="M27" s="390">
        <f t="shared" si="4"/>
        <v>0</v>
      </c>
      <c r="N27" s="390">
        <v>25</v>
      </c>
      <c r="O27" s="3"/>
      <c r="P27" s="9"/>
      <c r="Q27" s="9"/>
      <c r="R27" s="105"/>
    </row>
    <row r="28" spans="1:18">
      <c r="A28" s="246" t="s">
        <v>383</v>
      </c>
      <c r="B28" s="246"/>
      <c r="C28" s="485"/>
      <c r="D28" s="390">
        <v>1</v>
      </c>
      <c r="E28" s="391">
        <f t="shared" si="0"/>
        <v>0</v>
      </c>
      <c r="F28" s="390">
        <v>3.5</v>
      </c>
      <c r="G28" s="390">
        <v>1.1000000000000001</v>
      </c>
      <c r="H28" s="390">
        <v>0.4</v>
      </c>
      <c r="I28" s="390">
        <f t="shared" si="1"/>
        <v>0</v>
      </c>
      <c r="J28" s="390">
        <f t="shared" si="2"/>
        <v>0</v>
      </c>
      <c r="K28" s="390">
        <f t="shared" si="3"/>
        <v>0</v>
      </c>
      <c r="L28" s="390">
        <v>1.25</v>
      </c>
      <c r="M28" s="390">
        <f t="shared" si="4"/>
        <v>0</v>
      </c>
      <c r="N28" s="390" t="s">
        <v>834</v>
      </c>
      <c r="O28" s="3"/>
      <c r="P28" s="9"/>
      <c r="Q28" s="9"/>
      <c r="R28" s="105"/>
    </row>
    <row r="29" spans="1:18">
      <c r="A29" s="246" t="s">
        <v>384</v>
      </c>
      <c r="B29" s="246"/>
      <c r="C29" s="485"/>
      <c r="D29" s="390">
        <v>1</v>
      </c>
      <c r="E29" s="391">
        <f t="shared" si="0"/>
        <v>0</v>
      </c>
      <c r="F29" s="390">
        <v>0.3</v>
      </c>
      <c r="G29" s="392">
        <v>0.8</v>
      </c>
      <c r="H29" s="390">
        <v>0</v>
      </c>
      <c r="I29" s="390">
        <f t="shared" si="1"/>
        <v>0</v>
      </c>
      <c r="J29" s="390">
        <f t="shared" si="2"/>
        <v>0</v>
      </c>
      <c r="K29" s="390">
        <f t="shared" si="3"/>
        <v>0</v>
      </c>
      <c r="L29" s="390">
        <v>1</v>
      </c>
      <c r="M29" s="390">
        <f t="shared" si="4"/>
        <v>0</v>
      </c>
      <c r="N29" s="390">
        <v>20</v>
      </c>
      <c r="O29" s="3"/>
      <c r="P29" s="9"/>
      <c r="Q29" s="9"/>
      <c r="R29" s="105"/>
    </row>
    <row r="30" spans="1:18">
      <c r="A30" s="246" t="s">
        <v>531</v>
      </c>
      <c r="B30" s="247" t="s">
        <v>835</v>
      </c>
      <c r="C30" s="485"/>
      <c r="D30" s="390">
        <v>1.1499999999999999</v>
      </c>
      <c r="E30" s="391">
        <f t="shared" si="0"/>
        <v>0</v>
      </c>
      <c r="F30" s="390">
        <v>0.5</v>
      </c>
      <c r="G30" s="390">
        <v>0.25</v>
      </c>
      <c r="H30" s="390">
        <v>0</v>
      </c>
      <c r="I30" s="390">
        <f t="shared" si="1"/>
        <v>0</v>
      </c>
      <c r="J30" s="390">
        <f t="shared" si="2"/>
        <v>0</v>
      </c>
      <c r="K30" s="390">
        <f t="shared" si="3"/>
        <v>0</v>
      </c>
      <c r="L30" s="390">
        <v>0.65</v>
      </c>
      <c r="M30" s="390">
        <f t="shared" si="4"/>
        <v>0</v>
      </c>
      <c r="N30" s="390" t="s">
        <v>836</v>
      </c>
      <c r="O30" s="3"/>
      <c r="P30" s="9"/>
      <c r="Q30" s="9"/>
      <c r="R30" s="105"/>
    </row>
    <row r="31" spans="1:18">
      <c r="A31" s="246" t="s">
        <v>506</v>
      </c>
      <c r="B31" s="247" t="s">
        <v>419</v>
      </c>
      <c r="C31" s="485"/>
      <c r="D31" s="390">
        <v>1.1499999999999999</v>
      </c>
      <c r="E31" s="391">
        <f t="shared" si="0"/>
        <v>0</v>
      </c>
      <c r="F31" s="390">
        <v>0.5</v>
      </c>
      <c r="G31" s="392">
        <v>0.25</v>
      </c>
      <c r="H31" s="390">
        <v>0</v>
      </c>
      <c r="I31" s="390">
        <f t="shared" si="1"/>
        <v>0</v>
      </c>
      <c r="J31" s="390">
        <f t="shared" si="2"/>
        <v>0</v>
      </c>
      <c r="K31" s="390">
        <f t="shared" si="3"/>
        <v>0</v>
      </c>
      <c r="L31" s="390">
        <v>0.65</v>
      </c>
      <c r="M31" s="390">
        <f t="shared" si="4"/>
        <v>0</v>
      </c>
      <c r="N31" s="390" t="s">
        <v>836</v>
      </c>
      <c r="O31" s="3"/>
      <c r="P31" s="9"/>
      <c r="Q31" s="9"/>
      <c r="R31" s="105"/>
    </row>
    <row r="32" spans="1:18">
      <c r="A32" s="246" t="s">
        <v>392</v>
      </c>
      <c r="B32" s="246"/>
      <c r="C32" s="485"/>
      <c r="D32" s="390">
        <v>1</v>
      </c>
      <c r="E32" s="391">
        <f t="shared" si="0"/>
        <v>0</v>
      </c>
      <c r="F32" s="390">
        <v>3</v>
      </c>
      <c r="G32" s="392">
        <v>0.8</v>
      </c>
      <c r="H32" s="390">
        <v>0</v>
      </c>
      <c r="I32" s="390">
        <f t="shared" si="1"/>
        <v>0</v>
      </c>
      <c r="J32" s="390">
        <f t="shared" si="2"/>
        <v>0</v>
      </c>
      <c r="K32" s="390">
        <f t="shared" si="3"/>
        <v>0</v>
      </c>
      <c r="L32" s="390">
        <v>1.25</v>
      </c>
      <c r="M32" s="390">
        <f t="shared" si="4"/>
        <v>0</v>
      </c>
      <c r="N32" s="390">
        <v>35</v>
      </c>
      <c r="O32" s="3"/>
      <c r="P32" s="9"/>
      <c r="Q32" s="9"/>
      <c r="R32" s="105"/>
    </row>
    <row r="33" spans="1:18">
      <c r="A33" s="246" t="s">
        <v>393</v>
      </c>
      <c r="B33" s="246" t="s">
        <v>830</v>
      </c>
      <c r="C33" s="485"/>
      <c r="D33" s="390">
        <v>1.1000000000000001</v>
      </c>
      <c r="E33" s="391">
        <f t="shared" si="0"/>
        <v>0</v>
      </c>
      <c r="F33" s="390">
        <v>2.2000000000000002</v>
      </c>
      <c r="G33" s="390">
        <v>1.1000000000000001</v>
      </c>
      <c r="H33" s="390">
        <v>0.15</v>
      </c>
      <c r="I33" s="390">
        <f t="shared" si="1"/>
        <v>0</v>
      </c>
      <c r="J33" s="390">
        <f t="shared" si="2"/>
        <v>0</v>
      </c>
      <c r="K33" s="390">
        <f t="shared" si="3"/>
        <v>0</v>
      </c>
      <c r="L33" s="390">
        <v>1.25</v>
      </c>
      <c r="M33" s="390">
        <f t="shared" si="4"/>
        <v>0</v>
      </c>
      <c r="N33" s="390" t="s">
        <v>837</v>
      </c>
      <c r="O33" s="3"/>
      <c r="P33" s="9"/>
      <c r="Q33" s="9"/>
      <c r="R33" s="105"/>
    </row>
    <row r="34" spans="1:18">
      <c r="A34" s="246" t="s">
        <v>506</v>
      </c>
      <c r="B34" s="246" t="s">
        <v>831</v>
      </c>
      <c r="C34" s="485"/>
      <c r="D34" s="390">
        <v>1.1000000000000001</v>
      </c>
      <c r="E34" s="391">
        <f t="shared" si="0"/>
        <v>0</v>
      </c>
      <c r="F34" s="390">
        <v>2.2999999999999998</v>
      </c>
      <c r="G34" s="390">
        <v>1.2</v>
      </c>
      <c r="H34" s="390">
        <v>0.3</v>
      </c>
      <c r="I34" s="390">
        <f t="shared" si="1"/>
        <v>0</v>
      </c>
      <c r="J34" s="390">
        <f t="shared" si="2"/>
        <v>0</v>
      </c>
      <c r="K34" s="390">
        <f t="shared" si="3"/>
        <v>0</v>
      </c>
      <c r="L34" s="390">
        <v>1.5</v>
      </c>
      <c r="M34" s="390">
        <f t="shared" si="4"/>
        <v>0</v>
      </c>
      <c r="N34" s="390" t="s">
        <v>837</v>
      </c>
      <c r="O34" s="3"/>
      <c r="P34" s="9"/>
      <c r="Q34" s="9"/>
      <c r="R34" s="105"/>
    </row>
    <row r="35" spans="1:18">
      <c r="A35" s="246" t="s">
        <v>395</v>
      </c>
      <c r="B35" s="246"/>
      <c r="C35" s="485"/>
      <c r="D35" s="390">
        <v>1</v>
      </c>
      <c r="E35" s="391">
        <f t="shared" si="0"/>
        <v>0</v>
      </c>
      <c r="F35" s="390">
        <v>1.05</v>
      </c>
      <c r="G35" s="392">
        <v>0.8</v>
      </c>
      <c r="H35" s="390">
        <v>0</v>
      </c>
      <c r="I35" s="390">
        <f t="shared" si="1"/>
        <v>0</v>
      </c>
      <c r="J35" s="390">
        <f t="shared" si="2"/>
        <v>0</v>
      </c>
      <c r="K35" s="390">
        <f t="shared" si="3"/>
        <v>0</v>
      </c>
      <c r="L35" s="390">
        <v>1</v>
      </c>
      <c r="M35" s="390">
        <f t="shared" si="4"/>
        <v>0</v>
      </c>
      <c r="N35" s="390">
        <v>25</v>
      </c>
      <c r="O35" s="3"/>
      <c r="P35" s="9"/>
      <c r="Q35" s="9"/>
      <c r="R35" s="105"/>
    </row>
    <row r="36" spans="1:18">
      <c r="A36" s="246" t="s">
        <v>399</v>
      </c>
      <c r="B36" s="246"/>
      <c r="C36" s="485"/>
      <c r="D36" s="390">
        <v>1</v>
      </c>
      <c r="E36" s="391">
        <f t="shared" si="0"/>
        <v>0</v>
      </c>
      <c r="F36" s="390">
        <v>0.4</v>
      </c>
      <c r="G36" s="392">
        <v>0.8</v>
      </c>
      <c r="H36" s="390">
        <v>0</v>
      </c>
      <c r="I36" s="390">
        <f t="shared" si="1"/>
        <v>0</v>
      </c>
      <c r="J36" s="390">
        <f t="shared" si="2"/>
        <v>0</v>
      </c>
      <c r="K36" s="390">
        <f t="shared" si="3"/>
        <v>0</v>
      </c>
      <c r="L36" s="390">
        <v>1</v>
      </c>
      <c r="M36" s="390">
        <f t="shared" si="4"/>
        <v>0</v>
      </c>
      <c r="N36" s="390">
        <v>45</v>
      </c>
      <c r="O36" s="3"/>
      <c r="P36" s="9"/>
      <c r="Q36" s="9"/>
      <c r="R36" s="105"/>
    </row>
    <row r="37" spans="1:18">
      <c r="A37" s="246" t="s">
        <v>401</v>
      </c>
      <c r="B37" s="246" t="s">
        <v>830</v>
      </c>
      <c r="C37" s="485"/>
      <c r="D37" s="390">
        <v>1</v>
      </c>
      <c r="E37" s="391">
        <f t="shared" si="0"/>
        <v>0</v>
      </c>
      <c r="F37" s="390">
        <v>1.7</v>
      </c>
      <c r="G37" s="390">
        <v>0.85</v>
      </c>
      <c r="H37" s="390">
        <v>0.15</v>
      </c>
      <c r="I37" s="390">
        <f t="shared" si="1"/>
        <v>0</v>
      </c>
      <c r="J37" s="390">
        <f>0.01*C38*D38*F38</f>
        <v>0</v>
      </c>
      <c r="K37" s="390">
        <f t="shared" si="3"/>
        <v>0</v>
      </c>
      <c r="L37" s="390">
        <v>1.1000000000000001</v>
      </c>
      <c r="M37" s="390">
        <f t="shared" si="4"/>
        <v>0</v>
      </c>
      <c r="N37" s="390" t="s">
        <v>837</v>
      </c>
      <c r="O37" s="3"/>
      <c r="P37" s="9"/>
      <c r="Q37" s="9"/>
      <c r="R37" s="105"/>
    </row>
    <row r="38" spans="1:18">
      <c r="A38" s="246" t="s">
        <v>506</v>
      </c>
      <c r="B38" s="246" t="s">
        <v>831</v>
      </c>
      <c r="C38" s="485"/>
      <c r="D38" s="390">
        <v>1</v>
      </c>
      <c r="E38" s="391">
        <f t="shared" si="0"/>
        <v>0</v>
      </c>
      <c r="F38" s="390">
        <v>1.8</v>
      </c>
      <c r="G38" s="390">
        <v>0.9</v>
      </c>
      <c r="H38" s="390">
        <v>0.5</v>
      </c>
      <c r="I38" s="390">
        <f t="shared" si="1"/>
        <v>0</v>
      </c>
      <c r="J38" s="390">
        <f>0.01*C39*D39*F39</f>
        <v>0</v>
      </c>
      <c r="K38" s="390">
        <f t="shared" si="3"/>
        <v>0</v>
      </c>
      <c r="L38" s="390">
        <v>1.1000000000000001</v>
      </c>
      <c r="M38" s="390">
        <f t="shared" si="4"/>
        <v>0</v>
      </c>
      <c r="N38" s="390" t="s">
        <v>837</v>
      </c>
      <c r="O38" s="3"/>
      <c r="P38" s="9"/>
      <c r="Q38" s="9"/>
      <c r="R38" s="105"/>
    </row>
    <row r="39" spans="1:18">
      <c r="A39" s="246" t="s">
        <v>412</v>
      </c>
      <c r="B39" s="247" t="s">
        <v>416</v>
      </c>
      <c r="C39" s="485"/>
      <c r="D39" s="390">
        <v>1</v>
      </c>
      <c r="E39" s="391">
        <f t="shared" si="0"/>
        <v>0</v>
      </c>
      <c r="F39" s="390">
        <v>0.85</v>
      </c>
      <c r="G39" s="390">
        <v>0.25</v>
      </c>
      <c r="H39" s="390">
        <v>0</v>
      </c>
      <c r="I39" s="390">
        <f t="shared" si="1"/>
        <v>0</v>
      </c>
      <c r="J39" s="390">
        <f t="shared" ref="J39:J81" si="5">0.01*C39*D39*F39</f>
        <v>0</v>
      </c>
      <c r="K39" s="390">
        <f t="shared" si="3"/>
        <v>0</v>
      </c>
      <c r="L39" s="390">
        <v>1</v>
      </c>
      <c r="M39" s="390">
        <f t="shared" si="4"/>
        <v>0</v>
      </c>
      <c r="N39" s="390" t="s">
        <v>838</v>
      </c>
      <c r="O39" s="3"/>
      <c r="P39" s="9"/>
      <c r="Q39" s="9"/>
      <c r="R39" s="105"/>
    </row>
    <row r="40" spans="1:18">
      <c r="A40" s="246" t="s">
        <v>506</v>
      </c>
      <c r="B40" s="247" t="s">
        <v>419</v>
      </c>
      <c r="C40" s="485"/>
      <c r="D40" s="390">
        <v>1</v>
      </c>
      <c r="E40" s="391">
        <f t="shared" si="0"/>
        <v>0</v>
      </c>
      <c r="F40" s="390">
        <v>0.85</v>
      </c>
      <c r="G40" s="390">
        <v>0.25</v>
      </c>
      <c r="H40" s="390">
        <v>0</v>
      </c>
      <c r="I40" s="390">
        <f t="shared" si="1"/>
        <v>0</v>
      </c>
      <c r="J40" s="390">
        <f t="shared" si="5"/>
        <v>0</v>
      </c>
      <c r="K40" s="390">
        <f t="shared" si="3"/>
        <v>0</v>
      </c>
      <c r="L40" s="390">
        <v>0.75</v>
      </c>
      <c r="M40" s="390">
        <f t="shared" si="4"/>
        <v>0</v>
      </c>
      <c r="N40" s="390" t="s">
        <v>838</v>
      </c>
      <c r="O40" s="3"/>
      <c r="P40" s="9"/>
      <c r="Q40" s="9"/>
      <c r="R40" s="105"/>
    </row>
    <row r="41" spans="1:18">
      <c r="A41" s="246" t="s">
        <v>438</v>
      </c>
      <c r="B41" s="246"/>
      <c r="C41" s="485"/>
      <c r="D41" s="390">
        <v>1.5</v>
      </c>
      <c r="E41" s="391">
        <f t="shared" si="0"/>
        <v>0</v>
      </c>
      <c r="F41" s="390">
        <v>2</v>
      </c>
      <c r="G41" s="390">
        <v>1.45</v>
      </c>
      <c r="H41" s="390">
        <v>0.15</v>
      </c>
      <c r="I41" s="390">
        <f t="shared" si="1"/>
        <v>0</v>
      </c>
      <c r="J41" s="390">
        <f t="shared" si="5"/>
        <v>0</v>
      </c>
      <c r="K41" s="390">
        <f t="shared" si="3"/>
        <v>0</v>
      </c>
      <c r="L41" s="390">
        <v>1.25</v>
      </c>
      <c r="M41" s="390">
        <f t="shared" si="4"/>
        <v>0</v>
      </c>
      <c r="N41" s="390"/>
      <c r="O41" s="3"/>
      <c r="P41" s="9"/>
      <c r="Q41" s="9"/>
      <c r="R41" s="105"/>
    </row>
    <row r="42" spans="1:18">
      <c r="A42" s="246" t="s">
        <v>446</v>
      </c>
      <c r="B42" s="246" t="s">
        <v>830</v>
      </c>
      <c r="C42" s="485"/>
      <c r="D42" s="390">
        <v>1.1000000000000001</v>
      </c>
      <c r="E42" s="391">
        <f t="shared" si="0"/>
        <v>0</v>
      </c>
      <c r="F42" s="390">
        <v>1.2</v>
      </c>
      <c r="G42" s="390">
        <v>0.9</v>
      </c>
      <c r="H42" s="390">
        <v>0</v>
      </c>
      <c r="I42" s="390">
        <f t="shared" si="1"/>
        <v>0</v>
      </c>
      <c r="J42" s="390">
        <f t="shared" si="5"/>
        <v>0</v>
      </c>
      <c r="K42" s="390">
        <f t="shared" si="3"/>
        <v>0</v>
      </c>
      <c r="L42" s="390">
        <v>1</v>
      </c>
      <c r="M42" s="390">
        <f t="shared" si="4"/>
        <v>0</v>
      </c>
      <c r="N42" s="390" t="s">
        <v>837</v>
      </c>
      <c r="O42" s="3"/>
      <c r="P42" s="9"/>
      <c r="Q42" s="9"/>
      <c r="R42" s="105"/>
    </row>
    <row r="43" spans="1:18">
      <c r="A43" s="246" t="s">
        <v>506</v>
      </c>
      <c r="B43" s="246" t="s">
        <v>831</v>
      </c>
      <c r="C43" s="485"/>
      <c r="D43" s="390">
        <v>1.1000000000000001</v>
      </c>
      <c r="E43" s="391">
        <f t="shared" si="0"/>
        <v>0</v>
      </c>
      <c r="F43" s="390">
        <v>1.3</v>
      </c>
      <c r="G43" s="390">
        <v>0.95</v>
      </c>
      <c r="H43" s="390">
        <v>0.1</v>
      </c>
      <c r="I43" s="390">
        <f t="shared" si="1"/>
        <v>0</v>
      </c>
      <c r="J43" s="390">
        <f t="shared" si="5"/>
        <v>0</v>
      </c>
      <c r="K43" s="390">
        <f t="shared" si="3"/>
        <v>0</v>
      </c>
      <c r="L43" s="390">
        <v>1</v>
      </c>
      <c r="M43" s="390">
        <f t="shared" si="4"/>
        <v>0</v>
      </c>
      <c r="N43" s="390" t="s">
        <v>837</v>
      </c>
      <c r="O43" s="3"/>
      <c r="P43" s="9"/>
      <c r="Q43" s="9"/>
      <c r="R43" s="105"/>
    </row>
    <row r="44" spans="1:18">
      <c r="A44" s="246" t="s">
        <v>447</v>
      </c>
      <c r="B44" s="246"/>
      <c r="C44" s="485"/>
      <c r="D44" s="390">
        <v>1.2</v>
      </c>
      <c r="E44" s="391">
        <f t="shared" si="0"/>
        <v>0</v>
      </c>
      <c r="F44" s="390">
        <v>0.4</v>
      </c>
      <c r="G44" s="390">
        <v>1.1000000000000001</v>
      </c>
      <c r="H44" s="390">
        <v>0</v>
      </c>
      <c r="I44" s="390">
        <f t="shared" si="1"/>
        <v>0</v>
      </c>
      <c r="J44" s="390">
        <f t="shared" si="5"/>
        <v>0</v>
      </c>
      <c r="K44" s="390">
        <f t="shared" si="3"/>
        <v>0</v>
      </c>
      <c r="L44" s="390">
        <v>1</v>
      </c>
      <c r="M44" s="390">
        <f t="shared" si="4"/>
        <v>0</v>
      </c>
      <c r="N44" s="390" t="s">
        <v>837</v>
      </c>
      <c r="O44" s="3"/>
      <c r="P44" s="9"/>
      <c r="Q44" s="9"/>
      <c r="R44" s="105"/>
    </row>
    <row r="45" spans="1:18">
      <c r="A45" s="246" t="s">
        <v>450</v>
      </c>
      <c r="B45" s="246"/>
      <c r="C45" s="485"/>
      <c r="D45" s="390">
        <v>1.1499999999999999</v>
      </c>
      <c r="E45" s="391">
        <f t="shared" si="0"/>
        <v>0</v>
      </c>
      <c r="F45" s="390">
        <v>3</v>
      </c>
      <c r="G45" s="390"/>
      <c r="H45" s="390">
        <v>0</v>
      </c>
      <c r="I45" s="390">
        <f t="shared" si="1"/>
        <v>0</v>
      </c>
      <c r="J45" s="390">
        <f t="shared" si="5"/>
        <v>0</v>
      </c>
      <c r="K45" s="390">
        <f t="shared" si="3"/>
        <v>0</v>
      </c>
      <c r="L45" s="390">
        <v>1</v>
      </c>
      <c r="M45" s="390">
        <f t="shared" si="4"/>
        <v>0</v>
      </c>
      <c r="N45" s="390"/>
      <c r="O45" s="3"/>
      <c r="P45" s="9"/>
      <c r="Q45" s="9"/>
      <c r="R45" s="105"/>
    </row>
    <row r="46" spans="1:18">
      <c r="A46" s="246" t="s">
        <v>839</v>
      </c>
      <c r="B46" s="246"/>
      <c r="C46" s="485"/>
      <c r="D46" s="390">
        <v>1</v>
      </c>
      <c r="E46" s="391">
        <f t="shared" si="0"/>
        <v>0</v>
      </c>
      <c r="F46" s="390">
        <v>4.3</v>
      </c>
      <c r="G46" s="392">
        <v>0.8</v>
      </c>
      <c r="H46" s="390">
        <v>0.15</v>
      </c>
      <c r="I46" s="390">
        <f t="shared" si="1"/>
        <v>0</v>
      </c>
      <c r="J46" s="390">
        <f t="shared" si="5"/>
        <v>0</v>
      </c>
      <c r="K46" s="390">
        <f t="shared" si="3"/>
        <v>0</v>
      </c>
      <c r="L46" s="390">
        <v>1</v>
      </c>
      <c r="M46" s="390">
        <f t="shared" si="4"/>
        <v>0</v>
      </c>
      <c r="N46" s="390"/>
      <c r="O46" s="3"/>
      <c r="P46" s="9"/>
      <c r="Q46" s="9"/>
      <c r="R46" s="105"/>
    </row>
    <row r="47" spans="1:18">
      <c r="A47" s="246" t="s">
        <v>840</v>
      </c>
      <c r="B47" s="246"/>
      <c r="C47" s="485"/>
      <c r="D47" s="390">
        <v>1.3</v>
      </c>
      <c r="E47" s="391">
        <f t="shared" si="0"/>
        <v>0</v>
      </c>
      <c r="F47" s="390">
        <v>0.3</v>
      </c>
      <c r="G47" s="392">
        <v>0.6</v>
      </c>
      <c r="H47" s="390">
        <v>0</v>
      </c>
      <c r="I47" s="390">
        <f t="shared" si="1"/>
        <v>0</v>
      </c>
      <c r="J47" s="390">
        <f t="shared" si="5"/>
        <v>0</v>
      </c>
      <c r="K47" s="390">
        <f t="shared" si="3"/>
        <v>0</v>
      </c>
      <c r="L47" s="390">
        <v>1</v>
      </c>
      <c r="M47" s="390">
        <f t="shared" si="4"/>
        <v>0</v>
      </c>
      <c r="N47" s="390">
        <v>15</v>
      </c>
      <c r="O47" s="3"/>
      <c r="P47" s="9"/>
      <c r="Q47" s="9"/>
      <c r="R47" s="105"/>
    </row>
    <row r="48" spans="1:18">
      <c r="A48" s="246" t="s">
        <v>456</v>
      </c>
      <c r="B48" s="246"/>
      <c r="C48" s="485"/>
      <c r="D48" s="390">
        <v>1</v>
      </c>
      <c r="E48" s="391">
        <f t="shared" si="0"/>
        <v>0</v>
      </c>
      <c r="F48" s="390">
        <v>2</v>
      </c>
      <c r="G48" s="390">
        <v>0.6</v>
      </c>
      <c r="H48" s="390">
        <v>0</v>
      </c>
      <c r="I48" s="393">
        <f t="shared" si="1"/>
        <v>0</v>
      </c>
      <c r="J48" s="393">
        <f t="shared" si="5"/>
        <v>0</v>
      </c>
      <c r="K48" s="390">
        <f t="shared" si="3"/>
        <v>0</v>
      </c>
      <c r="L48" s="390">
        <v>1</v>
      </c>
      <c r="M48" s="390">
        <f t="shared" si="4"/>
        <v>0</v>
      </c>
      <c r="N48" s="390">
        <v>20</v>
      </c>
      <c r="O48" s="3"/>
      <c r="P48" s="9"/>
      <c r="Q48" s="9"/>
      <c r="R48" s="105"/>
    </row>
    <row r="49" spans="1:18">
      <c r="A49" s="246" t="s">
        <v>457</v>
      </c>
      <c r="B49" s="246"/>
      <c r="C49" s="485"/>
      <c r="D49" s="390">
        <v>1.3</v>
      </c>
      <c r="E49" s="391">
        <f t="shared" si="0"/>
        <v>0</v>
      </c>
      <c r="F49" s="390">
        <v>0.5</v>
      </c>
      <c r="G49" s="390"/>
      <c r="H49" s="390">
        <v>0</v>
      </c>
      <c r="I49" s="390">
        <f t="shared" si="1"/>
        <v>0</v>
      </c>
      <c r="J49" s="390">
        <f t="shared" si="5"/>
        <v>0</v>
      </c>
      <c r="K49" s="390">
        <f t="shared" si="3"/>
        <v>0</v>
      </c>
      <c r="L49" s="390">
        <v>1</v>
      </c>
      <c r="M49" s="390">
        <f t="shared" si="4"/>
        <v>0</v>
      </c>
      <c r="N49" s="390"/>
      <c r="O49" s="3"/>
      <c r="P49" s="9"/>
      <c r="Q49" s="9"/>
      <c r="R49" s="105"/>
    </row>
    <row r="50" spans="1:18">
      <c r="A50" s="246" t="s">
        <v>458</v>
      </c>
      <c r="B50" s="246"/>
      <c r="C50" s="485"/>
      <c r="D50" s="390">
        <v>1</v>
      </c>
      <c r="E50" s="391">
        <f t="shared" si="0"/>
        <v>0</v>
      </c>
      <c r="F50" s="392">
        <v>1</v>
      </c>
      <c r="G50" s="390"/>
      <c r="H50" s="390">
        <v>0</v>
      </c>
      <c r="I50" s="390">
        <f t="shared" si="1"/>
        <v>0</v>
      </c>
      <c r="J50" s="390">
        <f t="shared" si="5"/>
        <v>0</v>
      </c>
      <c r="K50" s="390">
        <f t="shared" si="3"/>
        <v>0</v>
      </c>
      <c r="L50" s="390">
        <v>1</v>
      </c>
      <c r="M50" s="390">
        <f t="shared" si="4"/>
        <v>0</v>
      </c>
      <c r="N50" s="390" t="s">
        <v>837</v>
      </c>
      <c r="O50" s="3"/>
      <c r="P50" s="9"/>
      <c r="Q50" s="9"/>
      <c r="R50" s="105"/>
    </row>
    <row r="51" spans="1:18">
      <c r="A51" s="246" t="s">
        <v>460</v>
      </c>
      <c r="B51" s="246" t="s">
        <v>841</v>
      </c>
      <c r="C51" s="485"/>
      <c r="D51" s="390">
        <v>1.4</v>
      </c>
      <c r="E51" s="391">
        <f t="shared" si="0"/>
        <v>0</v>
      </c>
      <c r="F51" s="390">
        <v>0.2</v>
      </c>
      <c r="G51" s="392">
        <v>0.5</v>
      </c>
      <c r="H51" s="390">
        <v>0</v>
      </c>
      <c r="I51" s="390">
        <f t="shared" si="1"/>
        <v>0</v>
      </c>
      <c r="J51" s="390">
        <f t="shared" si="5"/>
        <v>0</v>
      </c>
      <c r="K51" s="390">
        <f t="shared" si="3"/>
        <v>0</v>
      </c>
      <c r="L51" s="390">
        <v>1</v>
      </c>
      <c r="M51" s="390">
        <f t="shared" si="4"/>
        <v>0</v>
      </c>
      <c r="N51" s="390">
        <v>30</v>
      </c>
      <c r="O51" s="3"/>
      <c r="P51" s="9"/>
      <c r="Q51" s="9"/>
      <c r="R51" s="105"/>
    </row>
    <row r="52" spans="1:18">
      <c r="A52" s="246" t="s">
        <v>462</v>
      </c>
      <c r="B52" s="246"/>
      <c r="C52" s="485"/>
      <c r="D52" s="390">
        <v>1.5</v>
      </c>
      <c r="E52" s="391">
        <f t="shared" si="0"/>
        <v>0</v>
      </c>
      <c r="F52" s="390">
        <v>0.45</v>
      </c>
      <c r="G52" s="390">
        <v>0.6</v>
      </c>
      <c r="H52" s="390">
        <v>0.15</v>
      </c>
      <c r="I52" s="390">
        <f t="shared" si="1"/>
        <v>0</v>
      </c>
      <c r="J52" s="390">
        <f t="shared" si="5"/>
        <v>0</v>
      </c>
      <c r="K52" s="390">
        <f t="shared" si="3"/>
        <v>0</v>
      </c>
      <c r="L52" s="390">
        <v>1</v>
      </c>
      <c r="M52" s="390">
        <f t="shared" ref="M52:M81" si="6">E52*L52</f>
        <v>0</v>
      </c>
      <c r="N52" s="390">
        <v>30</v>
      </c>
      <c r="O52" s="3"/>
      <c r="P52" s="9"/>
      <c r="Q52" s="9"/>
      <c r="R52" s="105"/>
    </row>
    <row r="53" spans="1:18">
      <c r="A53" s="246" t="s">
        <v>464</v>
      </c>
      <c r="B53" s="246" t="s">
        <v>830</v>
      </c>
      <c r="C53" s="485"/>
      <c r="D53" s="390">
        <v>1.1000000000000001</v>
      </c>
      <c r="E53" s="391">
        <f t="shared" si="0"/>
        <v>0</v>
      </c>
      <c r="F53" s="390">
        <v>0.7</v>
      </c>
      <c r="G53" s="390">
        <v>0.35</v>
      </c>
      <c r="H53" s="390">
        <v>0.09</v>
      </c>
      <c r="I53" s="390">
        <f t="shared" si="1"/>
        <v>0</v>
      </c>
      <c r="J53" s="390">
        <f t="shared" si="5"/>
        <v>0</v>
      </c>
      <c r="K53" s="390">
        <f t="shared" si="3"/>
        <v>0</v>
      </c>
      <c r="L53" s="390">
        <v>1</v>
      </c>
      <c r="M53" s="390">
        <f t="shared" si="6"/>
        <v>0</v>
      </c>
      <c r="N53" s="390" t="s">
        <v>842</v>
      </c>
      <c r="O53" s="3"/>
      <c r="P53" s="9"/>
      <c r="Q53" s="9"/>
      <c r="R53" s="105"/>
    </row>
    <row r="54" spans="1:18">
      <c r="A54" s="246" t="s">
        <v>388</v>
      </c>
      <c r="B54" s="246" t="s">
        <v>831</v>
      </c>
      <c r="C54" s="485"/>
      <c r="D54" s="390">
        <v>1.1000000000000001</v>
      </c>
      <c r="E54" s="391">
        <f t="shared" si="0"/>
        <v>0</v>
      </c>
      <c r="F54" s="390">
        <v>0.7</v>
      </c>
      <c r="G54" s="390">
        <v>0.35</v>
      </c>
      <c r="H54" s="390">
        <v>0.15</v>
      </c>
      <c r="I54" s="390">
        <f t="shared" si="1"/>
        <v>0</v>
      </c>
      <c r="J54" s="390">
        <f t="shared" si="5"/>
        <v>0</v>
      </c>
      <c r="K54" s="390">
        <f t="shared" si="3"/>
        <v>0</v>
      </c>
      <c r="L54" s="390">
        <v>1</v>
      </c>
      <c r="M54" s="390">
        <f t="shared" si="6"/>
        <v>0</v>
      </c>
      <c r="N54" s="390" t="s">
        <v>842</v>
      </c>
      <c r="O54" s="3"/>
      <c r="P54" s="9"/>
      <c r="Q54" s="9"/>
      <c r="R54" s="105"/>
    </row>
    <row r="55" spans="1:18">
      <c r="A55" s="246" t="s">
        <v>467</v>
      </c>
      <c r="B55" s="246"/>
      <c r="C55" s="485"/>
      <c r="D55" s="390">
        <v>1</v>
      </c>
      <c r="E55" s="391">
        <f t="shared" si="0"/>
        <v>0</v>
      </c>
      <c r="F55" s="390">
        <v>0.95</v>
      </c>
      <c r="G55" s="390">
        <v>0.75</v>
      </c>
      <c r="H55" s="390">
        <v>0.15</v>
      </c>
      <c r="I55" s="390">
        <f t="shared" si="1"/>
        <v>0</v>
      </c>
      <c r="J55" s="390">
        <f t="shared" si="5"/>
        <v>0</v>
      </c>
      <c r="K55" s="390">
        <f t="shared" si="3"/>
        <v>0</v>
      </c>
      <c r="L55" s="390">
        <v>1</v>
      </c>
      <c r="M55" s="390">
        <f t="shared" si="6"/>
        <v>0</v>
      </c>
      <c r="N55" s="390"/>
      <c r="O55" s="3"/>
      <c r="P55" s="9"/>
      <c r="Q55" s="9"/>
      <c r="R55" s="105"/>
    </row>
    <row r="56" spans="1:18">
      <c r="A56" s="246" t="s">
        <v>843</v>
      </c>
      <c r="B56" s="246"/>
      <c r="C56" s="485"/>
      <c r="D56" s="390">
        <v>1.4</v>
      </c>
      <c r="E56" s="391">
        <f t="shared" si="0"/>
        <v>0</v>
      </c>
      <c r="F56" s="390">
        <v>0.1</v>
      </c>
      <c r="G56" s="390"/>
      <c r="H56" s="390">
        <v>0</v>
      </c>
      <c r="I56" s="390">
        <f t="shared" si="1"/>
        <v>0</v>
      </c>
      <c r="J56" s="390">
        <f t="shared" si="5"/>
        <v>0</v>
      </c>
      <c r="K56" s="390">
        <f t="shared" si="3"/>
        <v>0</v>
      </c>
      <c r="L56" s="390">
        <v>1</v>
      </c>
      <c r="M56" s="390">
        <f t="shared" si="6"/>
        <v>0</v>
      </c>
      <c r="N56" s="390"/>
      <c r="O56" s="3"/>
      <c r="P56" s="9"/>
      <c r="Q56" s="9"/>
      <c r="R56" s="105"/>
    </row>
    <row r="57" spans="1:18">
      <c r="A57" s="246" t="s">
        <v>480</v>
      </c>
      <c r="B57" s="246"/>
      <c r="C57" s="485"/>
      <c r="D57" s="390">
        <v>1</v>
      </c>
      <c r="E57" s="391">
        <f t="shared" si="0"/>
        <v>0</v>
      </c>
      <c r="F57" s="390">
        <v>3</v>
      </c>
      <c r="G57" s="392">
        <v>0.5</v>
      </c>
      <c r="H57" s="390">
        <v>0</v>
      </c>
      <c r="I57" s="390">
        <f t="shared" si="1"/>
        <v>0</v>
      </c>
      <c r="J57" s="390">
        <f t="shared" si="5"/>
        <v>0</v>
      </c>
      <c r="K57" s="390">
        <f t="shared" si="3"/>
        <v>0</v>
      </c>
      <c r="L57" s="390">
        <v>1</v>
      </c>
      <c r="M57" s="390">
        <f t="shared" si="6"/>
        <v>0</v>
      </c>
      <c r="N57" s="390">
        <v>15</v>
      </c>
      <c r="O57" s="3"/>
      <c r="P57" s="9"/>
      <c r="Q57" s="9"/>
      <c r="R57" s="105"/>
    </row>
    <row r="58" spans="1:18">
      <c r="A58" s="246" t="s">
        <v>481</v>
      </c>
      <c r="B58" s="246" t="s">
        <v>830</v>
      </c>
      <c r="C58" s="485"/>
      <c r="D58" s="390">
        <v>1.2</v>
      </c>
      <c r="E58" s="391">
        <f t="shared" si="0"/>
        <v>0</v>
      </c>
      <c r="F58" s="390">
        <v>0.65</v>
      </c>
      <c r="G58" s="390">
        <v>0.35</v>
      </c>
      <c r="H58" s="390">
        <v>0.09</v>
      </c>
      <c r="I58" s="390">
        <f t="shared" si="1"/>
        <v>0</v>
      </c>
      <c r="J58" s="390">
        <f t="shared" si="5"/>
        <v>0</v>
      </c>
      <c r="K58" s="390">
        <f t="shared" si="3"/>
        <v>0</v>
      </c>
      <c r="L58" s="390">
        <v>1</v>
      </c>
      <c r="M58" s="390">
        <f t="shared" si="6"/>
        <v>0</v>
      </c>
      <c r="N58" s="390">
        <v>30</v>
      </c>
      <c r="O58" s="3"/>
      <c r="P58" s="9"/>
      <c r="Q58" s="9"/>
      <c r="R58" s="105"/>
    </row>
    <row r="59" spans="1:18">
      <c r="A59" s="246" t="s">
        <v>372</v>
      </c>
      <c r="B59" s="246" t="s">
        <v>831</v>
      </c>
      <c r="C59" s="485"/>
      <c r="D59" s="390">
        <v>1.2</v>
      </c>
      <c r="E59" s="391">
        <f t="shared" si="0"/>
        <v>0</v>
      </c>
      <c r="F59" s="390">
        <v>0.65</v>
      </c>
      <c r="G59" s="390">
        <v>0.35</v>
      </c>
      <c r="H59" s="390">
        <v>0.15</v>
      </c>
      <c r="I59" s="390">
        <f t="shared" si="1"/>
        <v>0</v>
      </c>
      <c r="J59" s="390">
        <f t="shared" si="5"/>
        <v>0</v>
      </c>
      <c r="K59" s="390">
        <f t="shared" si="3"/>
        <v>0</v>
      </c>
      <c r="L59" s="390">
        <v>1</v>
      </c>
      <c r="M59" s="390">
        <f t="shared" si="6"/>
        <v>0</v>
      </c>
      <c r="N59" s="390">
        <v>31</v>
      </c>
      <c r="O59" s="3"/>
      <c r="P59" s="9"/>
      <c r="Q59" s="9"/>
      <c r="R59" s="105"/>
    </row>
    <row r="60" spans="1:18">
      <c r="A60" s="246" t="s">
        <v>372</v>
      </c>
      <c r="B60" s="247" t="s">
        <v>364</v>
      </c>
      <c r="C60" s="485"/>
      <c r="D60" s="390">
        <v>1</v>
      </c>
      <c r="E60" s="391">
        <f t="shared" si="0"/>
        <v>0</v>
      </c>
      <c r="F60" s="390">
        <v>1</v>
      </c>
      <c r="G60" s="392">
        <v>1.05</v>
      </c>
      <c r="H60" s="390">
        <v>3</v>
      </c>
      <c r="I60" s="390">
        <f t="shared" si="1"/>
        <v>0</v>
      </c>
      <c r="J60" s="390">
        <f t="shared" si="5"/>
        <v>0</v>
      </c>
      <c r="K60" s="390">
        <f t="shared" si="3"/>
        <v>0</v>
      </c>
      <c r="L60" s="390">
        <v>1</v>
      </c>
      <c r="M60" s="390">
        <f t="shared" si="6"/>
        <v>0</v>
      </c>
      <c r="N60" s="390" t="s">
        <v>844</v>
      </c>
      <c r="O60" s="3"/>
      <c r="P60" s="9"/>
      <c r="Q60" s="9"/>
      <c r="R60" s="105"/>
    </row>
    <row r="61" spans="1:18" ht="13.9" customHeight="1">
      <c r="A61" s="246" t="s">
        <v>486</v>
      </c>
      <c r="B61" s="246"/>
      <c r="C61" s="485"/>
      <c r="D61" s="390">
        <v>1.2</v>
      </c>
      <c r="E61" s="391">
        <f t="shared" si="0"/>
        <v>0</v>
      </c>
      <c r="F61" s="390">
        <v>0.3</v>
      </c>
      <c r="G61" s="390">
        <v>0.8</v>
      </c>
      <c r="H61" s="390">
        <v>0</v>
      </c>
      <c r="I61" s="390">
        <f t="shared" si="1"/>
        <v>0</v>
      </c>
      <c r="J61" s="390">
        <f t="shared" si="5"/>
        <v>0</v>
      </c>
      <c r="K61" s="390">
        <f t="shared" si="3"/>
        <v>0</v>
      </c>
      <c r="L61" s="390">
        <v>1</v>
      </c>
      <c r="M61" s="390">
        <f t="shared" si="6"/>
        <v>0</v>
      </c>
      <c r="N61" s="390" t="s">
        <v>842</v>
      </c>
      <c r="O61" s="3"/>
      <c r="P61" s="9"/>
      <c r="Q61" s="9"/>
      <c r="R61" s="105"/>
    </row>
    <row r="62" spans="1:18" ht="13.9" customHeight="1">
      <c r="A62" s="246" t="s">
        <v>845</v>
      </c>
      <c r="B62" s="248" t="s">
        <v>846</v>
      </c>
      <c r="C62" s="485"/>
      <c r="D62" s="390">
        <v>1.1499999999999999</v>
      </c>
      <c r="E62" s="391">
        <f t="shared" si="0"/>
        <v>0</v>
      </c>
      <c r="F62" s="390">
        <v>0.2</v>
      </c>
      <c r="G62" s="392">
        <v>0.5</v>
      </c>
      <c r="H62" s="390">
        <v>0</v>
      </c>
      <c r="I62" s="390">
        <f t="shared" si="1"/>
        <v>0</v>
      </c>
      <c r="J62" s="390">
        <f t="shared" si="5"/>
        <v>0</v>
      </c>
      <c r="K62" s="390">
        <f t="shared" si="3"/>
        <v>0</v>
      </c>
      <c r="L62" s="390">
        <v>0.7</v>
      </c>
      <c r="M62" s="390">
        <f t="shared" si="6"/>
        <v>0</v>
      </c>
      <c r="N62" s="390"/>
      <c r="O62" s="3"/>
      <c r="P62" s="9"/>
      <c r="Q62" s="9"/>
      <c r="R62" s="105"/>
    </row>
    <row r="63" spans="1:18">
      <c r="A63" s="246" t="s">
        <v>491</v>
      </c>
      <c r="B63" s="246"/>
      <c r="C63" s="485"/>
      <c r="D63" s="390">
        <v>1.4</v>
      </c>
      <c r="E63" s="391">
        <f>IF(D63=0,0,C63/D63)</f>
        <v>0</v>
      </c>
      <c r="F63" s="390">
        <v>1.1000000000000001</v>
      </c>
      <c r="G63" s="390">
        <v>0.1</v>
      </c>
      <c r="H63" s="390">
        <v>0</v>
      </c>
      <c r="I63" s="390">
        <f t="shared" si="1"/>
        <v>0</v>
      </c>
      <c r="J63" s="390">
        <f t="shared" si="5"/>
        <v>0</v>
      </c>
      <c r="K63" s="390">
        <f t="shared" si="3"/>
        <v>0</v>
      </c>
      <c r="L63" s="390">
        <v>1</v>
      </c>
      <c r="M63" s="390">
        <f t="shared" si="6"/>
        <v>0</v>
      </c>
      <c r="N63" s="390">
        <v>35</v>
      </c>
      <c r="O63" s="3"/>
      <c r="P63" s="9"/>
      <c r="Q63" s="9"/>
      <c r="R63" s="105"/>
    </row>
    <row r="64" spans="1:18">
      <c r="A64" s="246" t="s">
        <v>493</v>
      </c>
      <c r="B64" s="246" t="s">
        <v>830</v>
      </c>
      <c r="C64" s="485"/>
      <c r="D64" s="390">
        <v>1.04</v>
      </c>
      <c r="E64" s="391">
        <f t="shared" si="0"/>
        <v>0</v>
      </c>
      <c r="F64" s="390">
        <v>1.6</v>
      </c>
      <c r="G64" s="390">
        <v>0.8</v>
      </c>
      <c r="H64" s="390">
        <v>0</v>
      </c>
      <c r="I64" s="390">
        <f t="shared" si="1"/>
        <v>0</v>
      </c>
      <c r="J64" s="390">
        <f t="shared" si="5"/>
        <v>0</v>
      </c>
      <c r="K64" s="390">
        <f t="shared" si="3"/>
        <v>0</v>
      </c>
      <c r="L64" s="390">
        <v>1</v>
      </c>
      <c r="M64" s="390">
        <f t="shared" si="6"/>
        <v>0</v>
      </c>
      <c r="N64" s="390" t="s">
        <v>836</v>
      </c>
      <c r="O64" s="3"/>
      <c r="P64" s="9"/>
      <c r="Q64" s="9"/>
      <c r="R64" s="105"/>
    </row>
    <row r="65" spans="1:18">
      <c r="A65" s="246" t="s">
        <v>495</v>
      </c>
      <c r="B65" s="246" t="s">
        <v>831</v>
      </c>
      <c r="C65" s="485"/>
      <c r="D65" s="390">
        <v>1.04</v>
      </c>
      <c r="E65" s="391">
        <f t="shared" si="0"/>
        <v>0</v>
      </c>
      <c r="F65" s="390">
        <v>1.6</v>
      </c>
      <c r="G65" s="390">
        <v>0.8</v>
      </c>
      <c r="H65" s="390">
        <v>0.12</v>
      </c>
      <c r="I65" s="390">
        <f t="shared" si="1"/>
        <v>0</v>
      </c>
      <c r="J65" s="390">
        <f t="shared" si="5"/>
        <v>0</v>
      </c>
      <c r="K65" s="390">
        <f t="shared" si="3"/>
        <v>0</v>
      </c>
      <c r="L65" s="390">
        <v>1</v>
      </c>
      <c r="M65" s="390">
        <f t="shared" si="6"/>
        <v>0</v>
      </c>
      <c r="N65" s="390" t="s">
        <v>836</v>
      </c>
      <c r="O65" s="3"/>
      <c r="P65" s="9"/>
      <c r="Q65" s="9"/>
      <c r="R65" s="105"/>
    </row>
    <row r="66" spans="1:18">
      <c r="A66" s="246" t="s">
        <v>497</v>
      </c>
      <c r="B66" s="246" t="s">
        <v>847</v>
      </c>
      <c r="C66" s="485"/>
      <c r="D66" s="390">
        <v>1</v>
      </c>
      <c r="E66" s="391">
        <f t="shared" si="0"/>
        <v>0</v>
      </c>
      <c r="F66" s="390">
        <v>1.3</v>
      </c>
      <c r="G66" s="392">
        <v>0.9</v>
      </c>
      <c r="H66" s="390">
        <v>1</v>
      </c>
      <c r="I66" s="390">
        <f t="shared" si="1"/>
        <v>0</v>
      </c>
      <c r="J66" s="390">
        <f t="shared" si="5"/>
        <v>0</v>
      </c>
      <c r="K66" s="390">
        <f t="shared" si="3"/>
        <v>0</v>
      </c>
      <c r="L66" s="390">
        <v>1</v>
      </c>
      <c r="M66" s="390">
        <f t="shared" si="6"/>
        <v>0</v>
      </c>
      <c r="N66" s="390">
        <v>35</v>
      </c>
      <c r="O66" s="3"/>
      <c r="P66" s="9"/>
      <c r="Q66" s="9"/>
      <c r="R66" s="105"/>
    </row>
    <row r="67" spans="1:18">
      <c r="A67" s="246" t="s">
        <v>499</v>
      </c>
      <c r="B67" s="246" t="s">
        <v>830</v>
      </c>
      <c r="C67" s="485"/>
      <c r="D67" s="390">
        <v>1.4</v>
      </c>
      <c r="E67" s="391">
        <f t="shared" si="0"/>
        <v>0</v>
      </c>
      <c r="F67" s="390">
        <v>0.95</v>
      </c>
      <c r="G67" s="390">
        <v>1.1000000000000001</v>
      </c>
      <c r="H67" s="390">
        <v>0.15</v>
      </c>
      <c r="I67" s="390">
        <f t="shared" si="1"/>
        <v>0</v>
      </c>
      <c r="J67" s="390">
        <f t="shared" si="5"/>
        <v>0</v>
      </c>
      <c r="K67" s="390">
        <f t="shared" si="3"/>
        <v>0</v>
      </c>
      <c r="L67" s="390">
        <v>1</v>
      </c>
      <c r="M67" s="390">
        <f t="shared" si="6"/>
        <v>0</v>
      </c>
      <c r="N67" s="390" t="s">
        <v>834</v>
      </c>
      <c r="O67" s="3"/>
      <c r="P67" s="9"/>
      <c r="Q67" s="9"/>
      <c r="R67" s="105"/>
    </row>
    <row r="68" spans="1:18">
      <c r="A68" s="246" t="s">
        <v>363</v>
      </c>
      <c r="B68" s="246" t="s">
        <v>831</v>
      </c>
      <c r="C68" s="485"/>
      <c r="D68" s="390">
        <v>1.4</v>
      </c>
      <c r="E68" s="391">
        <f t="shared" si="0"/>
        <v>0</v>
      </c>
      <c r="F68" s="390">
        <v>0.95</v>
      </c>
      <c r="G68" s="390">
        <v>1.1000000000000001</v>
      </c>
      <c r="H68" s="390">
        <v>0.3</v>
      </c>
      <c r="I68" s="390">
        <f t="shared" si="1"/>
        <v>0</v>
      </c>
      <c r="J68" s="390">
        <f t="shared" si="5"/>
        <v>0</v>
      </c>
      <c r="K68" s="390">
        <f t="shared" si="3"/>
        <v>0</v>
      </c>
      <c r="L68" s="390">
        <v>1</v>
      </c>
      <c r="M68" s="390">
        <f t="shared" si="6"/>
        <v>0</v>
      </c>
      <c r="N68" s="390" t="s">
        <v>834</v>
      </c>
      <c r="O68" s="3"/>
      <c r="P68" s="9"/>
      <c r="Q68" s="9"/>
      <c r="R68" s="105"/>
    </row>
    <row r="69" spans="1:18">
      <c r="A69" s="246" t="s">
        <v>363</v>
      </c>
      <c r="B69" s="246"/>
      <c r="C69" s="485"/>
      <c r="D69" s="390"/>
      <c r="E69" s="391">
        <f t="shared" si="0"/>
        <v>0</v>
      </c>
      <c r="F69" s="390"/>
      <c r="G69" s="390"/>
      <c r="H69" s="390"/>
      <c r="I69" s="390">
        <f t="shared" si="1"/>
        <v>0</v>
      </c>
      <c r="J69" s="390">
        <f t="shared" si="5"/>
        <v>0</v>
      </c>
      <c r="K69" s="390">
        <f t="shared" si="3"/>
        <v>0</v>
      </c>
      <c r="L69" s="390"/>
      <c r="M69" s="390">
        <f t="shared" si="6"/>
        <v>0</v>
      </c>
      <c r="N69" s="390"/>
      <c r="O69" s="3"/>
      <c r="P69" s="9"/>
      <c r="Q69" s="9"/>
      <c r="R69" s="105"/>
    </row>
    <row r="70" spans="1:18">
      <c r="A70" s="246" t="s">
        <v>502</v>
      </c>
      <c r="B70" s="246"/>
      <c r="C70" s="485"/>
      <c r="D70" s="390">
        <v>1</v>
      </c>
      <c r="E70" s="391">
        <f t="shared" si="0"/>
        <v>0</v>
      </c>
      <c r="F70" s="390">
        <v>1.5</v>
      </c>
      <c r="G70" s="390">
        <v>0.45</v>
      </c>
      <c r="H70" s="390">
        <v>0</v>
      </c>
      <c r="I70" s="390">
        <f t="shared" si="1"/>
        <v>0</v>
      </c>
      <c r="J70" s="390">
        <f t="shared" si="5"/>
        <v>0</v>
      </c>
      <c r="K70" s="390">
        <f t="shared" si="3"/>
        <v>0</v>
      </c>
      <c r="L70" s="390">
        <v>0.9</v>
      </c>
      <c r="M70" s="390">
        <f t="shared" si="6"/>
        <v>0</v>
      </c>
      <c r="N70" s="390">
        <v>10</v>
      </c>
      <c r="O70" s="3"/>
      <c r="P70" s="9"/>
      <c r="Q70" s="9"/>
      <c r="R70" s="105"/>
    </row>
    <row r="71" spans="1:18">
      <c r="A71" s="246" t="s">
        <v>503</v>
      </c>
      <c r="B71" s="246"/>
      <c r="C71" s="485"/>
      <c r="D71" s="390">
        <v>1</v>
      </c>
      <c r="E71" s="391">
        <f t="shared" si="0"/>
        <v>0</v>
      </c>
      <c r="F71" s="390">
        <v>2.2999999999999998</v>
      </c>
      <c r="G71" s="390">
        <v>0.55000000000000004</v>
      </c>
      <c r="H71" s="390">
        <v>0.4</v>
      </c>
      <c r="I71" s="390">
        <f t="shared" si="1"/>
        <v>0</v>
      </c>
      <c r="J71" s="390">
        <f t="shared" si="5"/>
        <v>0</v>
      </c>
      <c r="K71" s="390">
        <f t="shared" si="3"/>
        <v>0</v>
      </c>
      <c r="L71" s="390">
        <v>1.25</v>
      </c>
      <c r="M71" s="390">
        <f t="shared" si="6"/>
        <v>0</v>
      </c>
      <c r="N71" s="390" t="s">
        <v>834</v>
      </c>
      <c r="O71" s="3"/>
      <c r="P71" s="9"/>
      <c r="Q71" s="9"/>
      <c r="R71" s="105"/>
    </row>
    <row r="72" spans="1:18">
      <c r="A72" s="914" t="s">
        <v>848</v>
      </c>
      <c r="B72" s="246"/>
      <c r="C72" s="485"/>
      <c r="D72" s="390">
        <v>1</v>
      </c>
      <c r="E72" s="391">
        <f t="shared" si="0"/>
        <v>0</v>
      </c>
      <c r="F72" s="390">
        <v>1.5</v>
      </c>
      <c r="G72" s="390">
        <v>0.45</v>
      </c>
      <c r="H72" s="390">
        <v>0</v>
      </c>
      <c r="I72" s="390">
        <f t="shared" si="1"/>
        <v>0</v>
      </c>
      <c r="J72" s="390">
        <f t="shared" si="5"/>
        <v>0</v>
      </c>
      <c r="K72" s="390">
        <f t="shared" si="3"/>
        <v>0</v>
      </c>
      <c r="L72" s="390">
        <v>1</v>
      </c>
      <c r="M72" s="390">
        <f t="shared" si="6"/>
        <v>0</v>
      </c>
      <c r="N72" s="390">
        <v>25</v>
      </c>
      <c r="O72" s="3"/>
      <c r="P72" s="9"/>
      <c r="Q72" s="9"/>
      <c r="R72" s="105"/>
    </row>
    <row r="73" spans="1:18">
      <c r="A73" s="246" t="s">
        <v>519</v>
      </c>
      <c r="B73" s="246"/>
      <c r="C73" s="485"/>
      <c r="D73" s="390">
        <v>1.25</v>
      </c>
      <c r="E73" s="391">
        <f t="shared" si="0"/>
        <v>0</v>
      </c>
      <c r="F73" s="392">
        <v>2</v>
      </c>
      <c r="G73" s="390"/>
      <c r="H73" s="390">
        <v>0</v>
      </c>
      <c r="I73" s="390">
        <f t="shared" si="1"/>
        <v>0</v>
      </c>
      <c r="J73" s="390">
        <f t="shared" si="5"/>
        <v>0</v>
      </c>
      <c r="K73" s="390">
        <f t="shared" si="3"/>
        <v>0</v>
      </c>
      <c r="L73" s="390">
        <v>1</v>
      </c>
      <c r="M73" s="390">
        <f t="shared" si="6"/>
        <v>0</v>
      </c>
      <c r="N73" s="390"/>
      <c r="O73" s="3"/>
      <c r="P73" s="9"/>
      <c r="Q73" s="9"/>
      <c r="R73" s="105"/>
    </row>
    <row r="74" spans="1:18">
      <c r="A74" s="246" t="s">
        <v>521</v>
      </c>
      <c r="B74" s="246" t="s">
        <v>849</v>
      </c>
      <c r="C74" s="485">
        <v>700</v>
      </c>
      <c r="D74" s="390">
        <v>1</v>
      </c>
      <c r="E74" s="391">
        <f t="shared" si="0"/>
        <v>700</v>
      </c>
      <c r="F74" s="390">
        <v>0.6</v>
      </c>
      <c r="G74" s="390">
        <v>0.5</v>
      </c>
      <c r="H74" s="390">
        <v>0</v>
      </c>
      <c r="I74" s="390">
        <f t="shared" si="1"/>
        <v>3.5</v>
      </c>
      <c r="J74" s="390">
        <f t="shared" si="5"/>
        <v>4.2</v>
      </c>
      <c r="K74" s="390">
        <f t="shared" si="3"/>
        <v>0</v>
      </c>
      <c r="L74" s="390">
        <v>0.875</v>
      </c>
      <c r="M74" s="390">
        <f t="shared" si="6"/>
        <v>612.5</v>
      </c>
      <c r="N74" s="390" t="s">
        <v>850</v>
      </c>
      <c r="O74" s="3"/>
      <c r="P74" s="9"/>
      <c r="Q74" s="9"/>
      <c r="R74" s="105"/>
    </row>
    <row r="75" spans="1:18">
      <c r="A75" s="246" t="s">
        <v>522</v>
      </c>
      <c r="B75" s="246"/>
      <c r="C75" s="485"/>
      <c r="D75" s="390">
        <v>1</v>
      </c>
      <c r="E75" s="391">
        <f t="shared" si="0"/>
        <v>0</v>
      </c>
      <c r="F75" s="390">
        <v>1.3</v>
      </c>
      <c r="G75" s="392">
        <v>0.75</v>
      </c>
      <c r="H75" s="390">
        <v>0.15</v>
      </c>
      <c r="I75" s="390">
        <f t="shared" si="1"/>
        <v>0</v>
      </c>
      <c r="J75" s="390">
        <f t="shared" si="5"/>
        <v>0</v>
      </c>
      <c r="K75" s="390">
        <f t="shared" si="3"/>
        <v>0</v>
      </c>
      <c r="L75" s="390">
        <v>1</v>
      </c>
      <c r="M75" s="390">
        <f t="shared" si="6"/>
        <v>0</v>
      </c>
      <c r="N75" s="390"/>
      <c r="O75" s="3"/>
      <c r="P75" s="9"/>
      <c r="Q75" s="9"/>
      <c r="R75" s="105"/>
    </row>
    <row r="76" spans="1:18">
      <c r="A76" s="246" t="s">
        <v>525</v>
      </c>
      <c r="B76" s="246"/>
      <c r="C76" s="485"/>
      <c r="D76" s="390">
        <v>1.4</v>
      </c>
      <c r="E76" s="391">
        <f t="shared" si="0"/>
        <v>0</v>
      </c>
      <c r="F76" s="390">
        <v>0.2</v>
      </c>
      <c r="G76" s="392">
        <v>0.25</v>
      </c>
      <c r="H76" s="390">
        <v>0</v>
      </c>
      <c r="I76" s="390">
        <f t="shared" si="1"/>
        <v>0</v>
      </c>
      <c r="J76" s="390">
        <f t="shared" si="5"/>
        <v>0</v>
      </c>
      <c r="K76" s="390">
        <f t="shared" si="3"/>
        <v>0</v>
      </c>
      <c r="L76" s="390">
        <v>0.4</v>
      </c>
      <c r="M76" s="390">
        <f t="shared" si="6"/>
        <v>0</v>
      </c>
      <c r="N76" s="390"/>
      <c r="O76" s="3"/>
      <c r="P76" s="9"/>
      <c r="Q76" s="9"/>
      <c r="R76" s="105"/>
    </row>
    <row r="77" spans="1:18">
      <c r="A77" s="246" t="s">
        <v>526</v>
      </c>
      <c r="B77" s="246"/>
      <c r="C77" s="485"/>
      <c r="D77" s="390">
        <v>1</v>
      </c>
      <c r="E77" s="391">
        <f t="shared" si="0"/>
        <v>0</v>
      </c>
      <c r="F77" s="390">
        <v>2.2000000000000002</v>
      </c>
      <c r="G77" s="390">
        <v>0.55000000000000004</v>
      </c>
      <c r="H77" s="390">
        <v>0.4</v>
      </c>
      <c r="I77" s="390">
        <f t="shared" si="1"/>
        <v>0</v>
      </c>
      <c r="J77" s="390">
        <f t="shared" si="5"/>
        <v>0</v>
      </c>
      <c r="K77" s="390">
        <f t="shared" si="3"/>
        <v>0</v>
      </c>
      <c r="L77" s="390">
        <v>1.25</v>
      </c>
      <c r="M77" s="390">
        <f t="shared" si="6"/>
        <v>0</v>
      </c>
      <c r="N77" s="390">
        <v>40</v>
      </c>
      <c r="O77" s="3"/>
      <c r="P77" s="9"/>
      <c r="Q77" s="9"/>
      <c r="R77" s="105"/>
    </row>
    <row r="78" spans="1:18">
      <c r="A78" s="246" t="s">
        <v>851</v>
      </c>
      <c r="B78" s="249"/>
      <c r="C78" s="485"/>
      <c r="D78" s="390"/>
      <c r="E78" s="391">
        <f t="shared" si="0"/>
        <v>0</v>
      </c>
      <c r="F78" s="390"/>
      <c r="G78" s="390"/>
      <c r="H78" s="390"/>
      <c r="I78" s="390">
        <f t="shared" si="1"/>
        <v>0</v>
      </c>
      <c r="J78" s="390">
        <f t="shared" si="5"/>
        <v>0</v>
      </c>
      <c r="K78" s="390">
        <f t="shared" si="3"/>
        <v>0</v>
      </c>
      <c r="L78" s="390"/>
      <c r="M78" s="390">
        <f t="shared" si="6"/>
        <v>0</v>
      </c>
      <c r="N78" s="390"/>
      <c r="O78" s="3"/>
      <c r="P78" s="629"/>
      <c r="Q78" s="629"/>
      <c r="R78" s="105"/>
    </row>
    <row r="79" spans="1:18" ht="15" customHeight="1">
      <c r="A79" s="246" t="s">
        <v>591</v>
      </c>
      <c r="B79" s="249"/>
      <c r="C79" s="485"/>
      <c r="D79" s="390"/>
      <c r="E79" s="391">
        <f t="shared" si="0"/>
        <v>0</v>
      </c>
      <c r="F79" s="390"/>
      <c r="G79" s="390"/>
      <c r="H79" s="390"/>
      <c r="I79" s="390">
        <f t="shared" si="1"/>
        <v>0</v>
      </c>
      <c r="J79" s="390">
        <f t="shared" si="5"/>
        <v>0</v>
      </c>
      <c r="K79" s="390">
        <f t="shared" si="3"/>
        <v>0</v>
      </c>
      <c r="L79" s="390"/>
      <c r="M79" s="390">
        <f t="shared" si="6"/>
        <v>0</v>
      </c>
      <c r="N79" s="390"/>
      <c r="O79" s="3"/>
      <c r="P79" s="25"/>
      <c r="Q79" s="25"/>
      <c r="R79" s="105"/>
    </row>
    <row r="80" spans="1:18" ht="15" customHeight="1">
      <c r="A80" s="246" t="s">
        <v>593</v>
      </c>
      <c r="B80" s="249"/>
      <c r="C80" s="485"/>
      <c r="D80" s="390"/>
      <c r="E80" s="391">
        <f t="shared" si="0"/>
        <v>0</v>
      </c>
      <c r="F80" s="390"/>
      <c r="G80" s="390"/>
      <c r="H80" s="390"/>
      <c r="I80" s="390">
        <f t="shared" si="1"/>
        <v>0</v>
      </c>
      <c r="J80" s="390">
        <f t="shared" si="5"/>
        <v>0</v>
      </c>
      <c r="K80" s="390">
        <f t="shared" si="3"/>
        <v>0</v>
      </c>
      <c r="L80" s="390"/>
      <c r="M80" s="390">
        <f t="shared" si="6"/>
        <v>0</v>
      </c>
      <c r="N80" s="390"/>
      <c r="O80" s="3"/>
      <c r="P80" s="25"/>
      <c r="Q80" s="25"/>
      <c r="R80" s="105"/>
    </row>
    <row r="81" spans="1:18" ht="15" customHeight="1">
      <c r="A81" s="246" t="s">
        <v>598</v>
      </c>
      <c r="B81" s="247"/>
      <c r="C81" s="485"/>
      <c r="D81" s="390"/>
      <c r="E81" s="391">
        <f t="shared" si="0"/>
        <v>0</v>
      </c>
      <c r="F81" s="390"/>
      <c r="G81" s="390"/>
      <c r="H81" s="390"/>
      <c r="I81" s="390">
        <f t="shared" si="1"/>
        <v>0</v>
      </c>
      <c r="J81" s="390">
        <f t="shared" si="5"/>
        <v>0</v>
      </c>
      <c r="K81" s="390">
        <f t="shared" si="3"/>
        <v>0</v>
      </c>
      <c r="L81" s="390"/>
      <c r="M81" s="390">
        <f t="shared" si="6"/>
        <v>0</v>
      </c>
      <c r="N81" s="390"/>
      <c r="O81" s="26"/>
      <c r="P81" s="25"/>
      <c r="Q81" s="25"/>
      <c r="R81" s="105"/>
    </row>
    <row r="82" spans="1:18" ht="15" customHeight="1">
      <c r="A82" s="1805" t="s">
        <v>965</v>
      </c>
      <c r="B82" s="1806"/>
      <c r="C82" s="1806"/>
      <c r="D82" s="1806"/>
      <c r="E82" s="1806"/>
      <c r="F82" s="1806"/>
      <c r="G82" s="1806"/>
      <c r="H82" s="1806"/>
      <c r="I82" s="1806"/>
      <c r="J82" s="1806"/>
      <c r="K82" s="1806"/>
      <c r="L82" s="1806"/>
      <c r="M82" s="1806"/>
      <c r="N82" s="1807"/>
      <c r="O82" s="687"/>
      <c r="P82" s="688"/>
      <c r="Q82" s="688"/>
      <c r="R82" s="686"/>
    </row>
    <row r="83" spans="1:18" ht="6" customHeight="1">
      <c r="A83" s="689"/>
      <c r="B83" s="689"/>
      <c r="C83" s="689"/>
      <c r="D83" s="689"/>
      <c r="E83" s="689"/>
      <c r="F83" s="689"/>
      <c r="G83" s="689"/>
      <c r="H83" s="689"/>
      <c r="I83" s="689"/>
      <c r="J83" s="689"/>
      <c r="K83" s="689"/>
      <c r="L83" s="689"/>
      <c r="M83" s="689"/>
      <c r="N83" s="689"/>
      <c r="O83" s="687"/>
      <c r="P83" s="688"/>
      <c r="Q83" s="688"/>
      <c r="R83" s="686"/>
    </row>
    <row r="84" spans="1:18" ht="14.25" customHeight="1">
      <c r="A84" s="1792" t="s">
        <v>852</v>
      </c>
      <c r="B84" s="1792"/>
      <c r="C84" s="1792"/>
      <c r="D84" s="1792"/>
      <c r="E84" s="1792"/>
      <c r="F84" s="1792"/>
      <c r="G84" s="1792"/>
      <c r="H84" s="1792"/>
      <c r="I84" s="1792"/>
      <c r="J84" s="1792"/>
      <c r="K84" s="1792"/>
      <c r="L84" s="1792"/>
      <c r="M84" s="1792"/>
      <c r="N84" s="1792"/>
      <c r="O84" s="1792"/>
      <c r="P84" s="1792"/>
      <c r="Q84" s="629"/>
      <c r="R84" s="105"/>
    </row>
    <row r="85" spans="1:18" ht="6" customHeight="1">
      <c r="A85" s="685"/>
      <c r="B85" s="685"/>
      <c r="C85" s="685"/>
      <c r="D85" s="685"/>
      <c r="E85" s="685"/>
      <c r="F85" s="685"/>
      <c r="G85" s="685"/>
      <c r="H85" s="685"/>
      <c r="I85" s="685"/>
      <c r="J85" s="685"/>
      <c r="K85" s="685"/>
      <c r="L85" s="685"/>
      <c r="M85" s="685"/>
      <c r="N85" s="685"/>
      <c r="O85" s="685"/>
      <c r="P85" s="685"/>
      <c r="Q85" s="631"/>
      <c r="R85" s="686"/>
    </row>
    <row r="86" spans="1:18" ht="15.75" customHeight="1">
      <c r="A86" s="1793" t="s">
        <v>853</v>
      </c>
      <c r="B86" s="1544"/>
      <c r="C86" s="1544"/>
      <c r="D86" s="629"/>
      <c r="E86" s="629"/>
      <c r="F86" s="629"/>
      <c r="G86" s="4"/>
      <c r="H86" s="4"/>
      <c r="I86" s="6"/>
      <c r="J86" s="6"/>
      <c r="K86" s="6"/>
      <c r="L86" s="6"/>
      <c r="M86" s="6"/>
      <c r="N86" s="6"/>
      <c r="O86" s="6"/>
      <c r="P86" s="4"/>
      <c r="Q86" s="629"/>
      <c r="R86" s="105"/>
    </row>
    <row r="87" spans="1:18" ht="15.75" customHeight="1">
      <c r="A87" s="1808"/>
      <c r="B87" s="1809"/>
      <c r="C87" s="1809"/>
      <c r="D87" s="1809"/>
      <c r="E87" s="1809"/>
      <c r="F87" s="1809"/>
      <c r="G87" s="1809"/>
      <c r="H87" s="1809"/>
      <c r="I87" s="1809"/>
      <c r="J87" s="1809"/>
      <c r="K87" s="1809"/>
      <c r="L87" s="1809"/>
      <c r="M87" s="1809"/>
      <c r="N87" s="1809"/>
      <c r="O87" s="1809"/>
      <c r="P87" s="1809"/>
      <c r="Q87" s="1810"/>
      <c r="R87" s="686"/>
    </row>
    <row r="88" spans="1:18">
      <c r="A88" s="1811"/>
      <c r="B88" s="1812"/>
      <c r="C88" s="1812"/>
      <c r="D88" s="1812"/>
      <c r="E88" s="1812"/>
      <c r="F88" s="1812"/>
      <c r="G88" s="1812"/>
      <c r="H88" s="1812"/>
      <c r="I88" s="1812"/>
      <c r="J88" s="1812"/>
      <c r="K88" s="1812"/>
      <c r="L88" s="1812"/>
      <c r="M88" s="1812"/>
      <c r="N88" s="1812"/>
      <c r="O88" s="1812"/>
      <c r="P88" s="1812"/>
      <c r="Q88" s="1813"/>
      <c r="R88" s="105"/>
    </row>
    <row r="89" spans="1:18" ht="14.25" customHeight="1">
      <c r="A89" s="1811"/>
      <c r="B89" s="1812"/>
      <c r="C89" s="1812"/>
      <c r="D89" s="1812"/>
      <c r="E89" s="1812"/>
      <c r="F89" s="1812"/>
      <c r="G89" s="1812"/>
      <c r="H89" s="1812"/>
      <c r="I89" s="1812"/>
      <c r="J89" s="1812"/>
      <c r="K89" s="1812"/>
      <c r="L89" s="1812"/>
      <c r="M89" s="1812"/>
      <c r="N89" s="1812"/>
      <c r="O89" s="1812"/>
      <c r="P89" s="1812"/>
      <c r="Q89" s="1813"/>
      <c r="R89" s="105"/>
    </row>
    <row r="90" spans="1:18" ht="14.25" customHeight="1">
      <c r="A90" s="1811"/>
      <c r="B90" s="1812"/>
      <c r="C90" s="1812"/>
      <c r="D90" s="1812"/>
      <c r="E90" s="1812"/>
      <c r="F90" s="1812"/>
      <c r="G90" s="1812"/>
      <c r="H90" s="1812"/>
      <c r="I90" s="1812"/>
      <c r="J90" s="1812"/>
      <c r="K90" s="1812"/>
      <c r="L90" s="1812"/>
      <c r="M90" s="1812"/>
      <c r="N90" s="1812"/>
      <c r="O90" s="1812"/>
      <c r="P90" s="1812"/>
      <c r="Q90" s="1813"/>
      <c r="R90" s="105"/>
    </row>
    <row r="91" spans="1:18" ht="14.25" customHeight="1">
      <c r="A91" s="1811"/>
      <c r="B91" s="1812"/>
      <c r="C91" s="1812"/>
      <c r="D91" s="1812"/>
      <c r="E91" s="1812"/>
      <c r="F91" s="1812"/>
      <c r="G91" s="1812"/>
      <c r="H91" s="1812"/>
      <c r="I91" s="1812"/>
      <c r="J91" s="1812"/>
      <c r="K91" s="1812"/>
      <c r="L91" s="1812"/>
      <c r="M91" s="1812"/>
      <c r="N91" s="1812"/>
      <c r="O91" s="1812"/>
      <c r="P91" s="1812"/>
      <c r="Q91" s="1813"/>
      <c r="R91" s="105"/>
    </row>
    <row r="92" spans="1:18">
      <c r="A92" s="1811"/>
      <c r="B92" s="1812"/>
      <c r="C92" s="1812"/>
      <c r="D92" s="1812"/>
      <c r="E92" s="1812"/>
      <c r="F92" s="1812"/>
      <c r="G92" s="1812"/>
      <c r="H92" s="1812"/>
      <c r="I92" s="1812"/>
      <c r="J92" s="1812"/>
      <c r="K92" s="1812"/>
      <c r="L92" s="1812"/>
      <c r="M92" s="1812"/>
      <c r="N92" s="1812"/>
      <c r="O92" s="1812"/>
      <c r="P92" s="1812"/>
      <c r="Q92" s="1813"/>
      <c r="R92" s="105"/>
    </row>
    <row r="93" spans="1:18">
      <c r="A93" s="1814"/>
      <c r="B93" s="1815"/>
      <c r="C93" s="1815"/>
      <c r="D93" s="1815"/>
      <c r="E93" s="1815"/>
      <c r="F93" s="1815"/>
      <c r="G93" s="1815"/>
      <c r="H93" s="1815"/>
      <c r="I93" s="1815"/>
      <c r="J93" s="1815"/>
      <c r="K93" s="1815"/>
      <c r="L93" s="1815"/>
      <c r="M93" s="1815"/>
      <c r="N93" s="1815"/>
      <c r="O93" s="1815"/>
      <c r="P93" s="1815"/>
      <c r="Q93" s="1816"/>
      <c r="R93" s="105"/>
    </row>
    <row r="94" spans="1:18">
      <c r="A94" s="4"/>
      <c r="B94" s="4"/>
      <c r="C94" s="4"/>
      <c r="D94" s="4"/>
      <c r="E94" s="4"/>
      <c r="F94" s="629"/>
      <c r="G94" s="629"/>
      <c r="H94" s="629"/>
      <c r="I94" s="4"/>
      <c r="J94" s="4"/>
      <c r="K94" s="4"/>
      <c r="L94" s="4"/>
      <c r="M94" s="4"/>
      <c r="N94" s="4"/>
      <c r="O94" s="629"/>
      <c r="P94" s="629"/>
      <c r="Q94" s="629"/>
      <c r="R94" s="105"/>
    </row>
    <row r="95" spans="1:18">
      <c r="A95" s="4"/>
      <c r="B95" s="4"/>
      <c r="C95" s="4"/>
      <c r="D95" s="4"/>
      <c r="E95" s="4"/>
      <c r="F95" s="629"/>
      <c r="G95" s="629"/>
      <c r="H95" s="629"/>
      <c r="I95" s="4"/>
      <c r="J95" s="4"/>
      <c r="K95" s="4"/>
      <c r="L95" s="4"/>
      <c r="M95" s="4"/>
      <c r="N95" s="4"/>
      <c r="O95" s="4"/>
      <c r="P95" s="810"/>
      <c r="Q95" s="809" t="s">
        <v>261</v>
      </c>
      <c r="R95" s="105"/>
    </row>
    <row r="96" spans="1:18">
      <c r="A96" s="4"/>
      <c r="B96" s="4"/>
      <c r="C96" s="4"/>
      <c r="D96" s="4"/>
      <c r="E96" s="4"/>
      <c r="F96" s="629"/>
      <c r="G96" s="629"/>
      <c r="H96" s="629"/>
      <c r="I96" s="4"/>
      <c r="J96" s="4"/>
      <c r="K96" s="4"/>
      <c r="L96" s="4"/>
      <c r="M96" s="4"/>
      <c r="N96" s="4"/>
      <c r="O96" s="4"/>
      <c r="P96" s="810" t="s">
        <v>628</v>
      </c>
      <c r="Q96" s="812" t="s">
        <v>36</v>
      </c>
      <c r="R96" s="105"/>
    </row>
    <row r="97" spans="1:18">
      <c r="A97" s="1796" t="s">
        <v>866</v>
      </c>
      <c r="B97" s="1796"/>
      <c r="C97" s="1796"/>
      <c r="D97" s="1796"/>
      <c r="E97" s="1796"/>
      <c r="F97" s="1796"/>
      <c r="G97" s="1796"/>
      <c r="H97" s="1796"/>
      <c r="I97" s="1796"/>
      <c r="J97" s="1796"/>
      <c r="K97" s="1796"/>
      <c r="L97" s="1796"/>
      <c r="M97" s="1796"/>
      <c r="N97" s="1796"/>
      <c r="O97" s="4"/>
      <c r="P97" s="810" t="s">
        <v>42</v>
      </c>
      <c r="Q97" s="811" t="s">
        <v>43</v>
      </c>
      <c r="R97" s="105"/>
    </row>
    <row r="98" spans="1:18">
      <c r="A98" s="105"/>
      <c r="B98" s="105"/>
      <c r="C98" s="105"/>
      <c r="D98" s="105"/>
      <c r="E98" s="105"/>
      <c r="F98" s="105"/>
      <c r="G98" s="105"/>
      <c r="H98" s="105"/>
      <c r="I98" s="105"/>
      <c r="J98" s="105"/>
      <c r="K98" s="105"/>
      <c r="L98" s="105"/>
      <c r="M98" s="105"/>
      <c r="N98" s="105"/>
      <c r="O98" s="105"/>
      <c r="P98" s="105"/>
      <c r="Q98" s="105"/>
      <c r="R98" s="105"/>
    </row>
  </sheetData>
  <sheetProtection password="FA80" sheet="1" objects="1" scenarios="1"/>
  <mergeCells count="35">
    <mergeCell ref="A84:P84"/>
    <mergeCell ref="A86:C86"/>
    <mergeCell ref="O19:Q19"/>
    <mergeCell ref="A97:N97"/>
    <mergeCell ref="A15:B15"/>
    <mergeCell ref="D15:H15"/>
    <mergeCell ref="P15:P17"/>
    <mergeCell ref="A16:B16"/>
    <mergeCell ref="D16:L16"/>
    <mergeCell ref="A18:B19"/>
    <mergeCell ref="A82:N82"/>
    <mergeCell ref="A87:Q93"/>
    <mergeCell ref="L15:O15"/>
    <mergeCell ref="D11:H11"/>
    <mergeCell ref="A13:B13"/>
    <mergeCell ref="D13:F13"/>
    <mergeCell ref="G13:H13"/>
    <mergeCell ref="L13:P14"/>
    <mergeCell ref="A14:B14"/>
    <mergeCell ref="D14:F14"/>
    <mergeCell ref="G14:H14"/>
    <mergeCell ref="A8:B8"/>
    <mergeCell ref="D8:G8"/>
    <mergeCell ref="D9:H9"/>
    <mergeCell ref="L9:P10"/>
    <mergeCell ref="A10:B10"/>
    <mergeCell ref="D10:H10"/>
    <mergeCell ref="A6:B6"/>
    <mergeCell ref="L5:P5"/>
    <mergeCell ref="L6:P6"/>
    <mergeCell ref="G1:O1"/>
    <mergeCell ref="L3:P3"/>
    <mergeCell ref="A5:B5"/>
    <mergeCell ref="A3:B3"/>
    <mergeCell ref="C3:G3"/>
  </mergeCells>
  <hyperlinks>
    <hyperlink ref="Q2" r:id="rId1"/>
    <hyperlink ref="A18" location="Jam!B94" display="Please read the &quot;Disclaimer&quot; before using this spreadsheet."/>
    <hyperlink ref="B18" location="Jam!B94" display="Jam!B94"/>
    <hyperlink ref="A19" location="Jam!B94" display="Jam!B94"/>
    <hyperlink ref="B19" location="Jam!B94" display="Jam!B94"/>
    <hyperlink ref="Q96" r:id="rId2"/>
    <hyperlink ref="Q97" r:id="rId3"/>
    <hyperlink ref="A18:B19" location="Jam!B97" display="Please read the &quot;Disclaimer&quot; before using this spreadsheet."/>
  </hyperlinks>
  <printOptions horizontalCentered="1"/>
  <pageMargins left="0.31496062992125984" right="0.31496062992125984" top="0.4" bottom="0.6692913385826772" header="0.36" footer="0.62992125984251968"/>
  <pageSetup paperSize="9" scale="55" pageOrder="overThenDown"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INDEX</vt:lpstr>
      <vt:lpstr>General Calc's</vt:lpstr>
      <vt:lpstr>Wine &amp; Cider Calc</vt:lpstr>
      <vt:lpstr>Jame's Acid Calc</vt:lpstr>
      <vt:lpstr>Cocktail Calc</vt:lpstr>
      <vt:lpstr>Jam Calc</vt:lpstr>
      <vt:lpstr>'Wine &amp; Cider Calc'!_Toc275263954</vt:lpstr>
      <vt:lpstr>'Cocktail Calc'!Print_Area</vt:lpstr>
      <vt:lpstr>'General Calc''s'!Print_Area</vt:lpstr>
      <vt:lpstr>INDEX!Print_Area</vt:lpstr>
      <vt:lpstr>'Jam Calc'!Print_Area</vt:lpstr>
      <vt:lpstr>'Jame''s Acid Calc'!Print_Area</vt:lpstr>
      <vt:lpstr>'Wine &amp; Cider Calc'!Print_Area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PJL</dc:creator>
  <cp:lastModifiedBy>Peter Laycock</cp:lastModifiedBy>
  <cp:revision>0</cp:revision>
  <cp:lastPrinted>2020-12-08T14:46:18Z</cp:lastPrinted>
  <dcterms:created xsi:type="dcterms:W3CDTF">2016-03-23T14:40:52Z</dcterms:created>
  <dcterms:modified xsi:type="dcterms:W3CDTF">2020-12-17T20:41:19Z</dcterms:modified>
</cp:coreProperties>
</file>