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 yWindow="65500" windowWidth="21744" windowHeight="9648" tabRatio="607" activeTab="7"/>
  </bookViews>
  <sheets>
    <sheet name="INDEX" sheetId="1" r:id="rId1"/>
    <sheet name="Beer Kit Calc's Etc" sheetId="2" r:id="rId2"/>
    <sheet name="Extract Calc" sheetId="3" r:id="rId3"/>
    <sheet name="Beer Calc" sheetId="4" r:id="rId4"/>
    <sheet name="Primer" sheetId="5" r:id="rId5"/>
    <sheet name="BJCP" sheetId="6" r:id="rId6"/>
    <sheet name="Wine Calc " sheetId="7" r:id="rId7"/>
    <sheet name="Jam" sheetId="8" r:id="rId8"/>
  </sheets>
  <definedNames>
    <definedName name="_Toc169764622" localSheetId="3">'Beer Calc'!$D$6</definedName>
    <definedName name="_Toc169764622" localSheetId="1">'Beer Kit Calc''s Etc'!#REF!</definedName>
    <definedName name="_Toc269412869" localSheetId="2">'Extract Calc'!$E$4</definedName>
    <definedName name="_xlnm.Print_Area" localSheetId="3">'Beer Calc'!$A$1:$R$95</definedName>
    <definedName name="_xlnm.Print_Area" localSheetId="1">'Beer Kit Calc''s Etc'!$A$1:$BF$100</definedName>
    <definedName name="_xlnm.Print_Area" localSheetId="5">'BJCP'!$A$1:$L$143</definedName>
    <definedName name="_xlnm.Print_Area" localSheetId="2">'Extract Calc'!$B$1:$V$103</definedName>
    <definedName name="_xlnm.Print_Area" localSheetId="0">'INDEX'!$A$1:$D$65</definedName>
    <definedName name="_xlnm.Print_Area" localSheetId="7">'Jam'!$A$1:$S$105</definedName>
    <definedName name="_xlnm.Print_Area" localSheetId="4">'Primer'!$A$1:$M$119</definedName>
    <definedName name="_xlnm.Print_Area" localSheetId="6">'Wine Calc '!$A$1:$V$285</definedName>
    <definedName name="WLP_vs_Wyeast" localSheetId="3">'Beer Calc'!#REF!</definedName>
    <definedName name="Wyeast" localSheetId="3">'Beer Calc'!#REF!</definedName>
    <definedName name="Wyeast_vs_WLP" localSheetId="3">'Beer Calc'!#REF!</definedName>
  </definedNames>
  <calcPr fullCalcOnLoad="1"/>
</workbook>
</file>

<file path=xl/sharedStrings.xml><?xml version="1.0" encoding="utf-8"?>
<sst xmlns="http://schemas.openxmlformats.org/spreadsheetml/2006/main" count="3807" uniqueCount="1777">
  <si>
    <t>GLUCOSE  (HYDROUS &amp; DEXTROSE)</t>
  </si>
  <si>
    <t>Glucose            Water                  Ethyl Alcohol      Carbon Dioxide   Water</t>
  </si>
  <si>
    <t>180g</t>
  </si>
  <si>
    <t>92g</t>
  </si>
  <si>
    <t>88g</t>
  </si>
  <si>
    <t xml:space="preserve">  (4.48 litre)</t>
  </si>
  <si>
    <t xml:space="preserve">  1g</t>
  </si>
  <si>
    <t xml:space="preserve">0.1g </t>
  </si>
  <si>
    <t xml:space="preserve">0.5111g  </t>
  </si>
  <si>
    <t>0.4888g</t>
  </si>
  <si>
    <t>1g Glucose gives</t>
  </si>
  <si>
    <t>(0.0249 litre)</t>
  </si>
  <si>
    <t>Copyright Peter J. Laycock 28~10~'5</t>
  </si>
  <si>
    <r>
      <t>(A value of 2 would indicate 2 litres CO</t>
    </r>
    <r>
      <rPr>
        <sz val="6"/>
        <rFont val="Times New Roman"/>
        <family val="1"/>
      </rPr>
      <t>2</t>
    </r>
    <r>
      <rPr>
        <sz val="10"/>
        <rFont val="Times New Roman"/>
        <family val="1"/>
      </rPr>
      <t xml:space="preserve"> dissolved in 1 litre of beer.)</t>
    </r>
  </si>
  <si>
    <r>
      <t>Volume CO</t>
    </r>
    <r>
      <rPr>
        <b/>
        <sz val="8"/>
        <rFont val="Times New Roman"/>
        <family val="1"/>
      </rPr>
      <t>2</t>
    </r>
  </si>
  <si>
    <t>Volume (finished/effective starting)</t>
  </si>
  <si>
    <r>
      <t>Volume CO</t>
    </r>
    <r>
      <rPr>
        <b/>
        <sz val="8"/>
        <rFont val="Times New Roman"/>
        <family val="1"/>
      </rPr>
      <t>2</t>
    </r>
    <r>
      <rPr>
        <b/>
        <sz val="11"/>
        <rFont val="Times New Roman"/>
        <family val="1"/>
      </rPr>
      <t xml:space="preserve"> Converters to PSI or Atm. or Bar </t>
    </r>
  </si>
  <si>
    <r>
      <t>Vol. CO</t>
    </r>
    <r>
      <rPr>
        <sz val="6"/>
        <rFont val="Times New Roman"/>
        <family val="1"/>
      </rPr>
      <t>2</t>
    </r>
  </si>
  <si>
    <r>
      <t>C</t>
    </r>
    <r>
      <rPr>
        <vertAlign val="subscript"/>
        <sz val="11"/>
        <rFont val="Times New Roman"/>
        <family val="1"/>
      </rPr>
      <t>12</t>
    </r>
    <r>
      <rPr>
        <sz val="11"/>
        <rFont val="Times New Roman"/>
        <family val="1"/>
      </rPr>
      <t>H</t>
    </r>
    <r>
      <rPr>
        <vertAlign val="subscript"/>
        <sz val="11"/>
        <rFont val="Times New Roman"/>
        <family val="1"/>
      </rPr>
      <t>22</t>
    </r>
    <r>
      <rPr>
        <sz val="11"/>
        <rFont val="Times New Roman"/>
        <family val="1"/>
      </rPr>
      <t>O</t>
    </r>
    <r>
      <rPr>
        <vertAlign val="subscript"/>
        <sz val="11"/>
        <rFont val="Times New Roman"/>
        <family val="1"/>
      </rPr>
      <t>11</t>
    </r>
    <r>
      <rPr>
        <sz val="11"/>
        <rFont val="Times New Roman"/>
        <family val="1"/>
      </rPr>
      <t xml:space="preserve">   +   H</t>
    </r>
    <r>
      <rPr>
        <vertAlign val="subscript"/>
        <sz val="11"/>
        <rFont val="Times New Roman"/>
        <family val="1"/>
      </rPr>
      <t>2</t>
    </r>
    <r>
      <rPr>
        <sz val="11"/>
        <rFont val="Times New Roman"/>
        <family val="1"/>
      </rPr>
      <t>O                  2C</t>
    </r>
    <r>
      <rPr>
        <vertAlign val="subscript"/>
        <sz val="11"/>
        <rFont val="Times New Roman"/>
        <family val="1"/>
      </rPr>
      <t>6</t>
    </r>
    <r>
      <rPr>
        <sz val="11"/>
        <rFont val="Times New Roman"/>
        <family val="1"/>
      </rPr>
      <t>H</t>
    </r>
    <r>
      <rPr>
        <vertAlign val="subscript"/>
        <sz val="11"/>
        <rFont val="Times New Roman"/>
        <family val="1"/>
      </rPr>
      <t>12</t>
    </r>
    <r>
      <rPr>
        <sz val="11"/>
        <rFont val="Times New Roman"/>
        <family val="1"/>
      </rPr>
      <t>O</t>
    </r>
    <r>
      <rPr>
        <vertAlign val="subscript"/>
        <sz val="11"/>
        <rFont val="Times New Roman"/>
        <family val="1"/>
      </rPr>
      <t>6</t>
    </r>
    <r>
      <rPr>
        <sz val="11"/>
        <rFont val="Times New Roman"/>
        <family val="1"/>
      </rPr>
      <t xml:space="preserve">                  4C</t>
    </r>
    <r>
      <rPr>
        <vertAlign val="subscript"/>
        <sz val="11"/>
        <rFont val="Times New Roman"/>
        <family val="1"/>
      </rPr>
      <t>2</t>
    </r>
    <r>
      <rPr>
        <sz val="11"/>
        <rFont val="Times New Roman"/>
        <family val="1"/>
      </rPr>
      <t>H</t>
    </r>
    <r>
      <rPr>
        <vertAlign val="subscript"/>
        <sz val="11"/>
        <rFont val="Times New Roman"/>
        <family val="1"/>
      </rPr>
      <t>5</t>
    </r>
    <r>
      <rPr>
        <sz val="11"/>
        <rFont val="Times New Roman"/>
        <family val="1"/>
      </rPr>
      <t>OH   +   4CO</t>
    </r>
    <r>
      <rPr>
        <vertAlign val="subscript"/>
        <sz val="11"/>
        <rFont val="Times New Roman"/>
        <family val="1"/>
      </rPr>
      <t>2</t>
    </r>
  </si>
  <si>
    <r>
      <t>litre CO</t>
    </r>
    <r>
      <rPr>
        <sz val="8"/>
        <rFont val="Times New Roman"/>
        <family val="1"/>
      </rPr>
      <t>2</t>
    </r>
  </si>
  <si>
    <r>
      <t>C</t>
    </r>
    <r>
      <rPr>
        <vertAlign val="subscript"/>
        <sz val="11"/>
        <rFont val="Times New Roman"/>
        <family val="1"/>
      </rPr>
      <t>6</t>
    </r>
    <r>
      <rPr>
        <sz val="11"/>
        <rFont val="Times New Roman"/>
        <family val="1"/>
      </rPr>
      <t>H</t>
    </r>
    <r>
      <rPr>
        <vertAlign val="subscript"/>
        <sz val="11"/>
        <rFont val="Times New Roman"/>
        <family val="1"/>
      </rPr>
      <t>12</t>
    </r>
    <r>
      <rPr>
        <sz val="11"/>
        <rFont val="Times New Roman"/>
        <family val="1"/>
      </rPr>
      <t>O</t>
    </r>
    <r>
      <rPr>
        <vertAlign val="subscript"/>
        <sz val="11"/>
        <rFont val="Times New Roman"/>
        <family val="1"/>
      </rPr>
      <t>6</t>
    </r>
    <r>
      <rPr>
        <sz val="11"/>
        <rFont val="Times New Roman"/>
        <family val="1"/>
      </rPr>
      <t xml:space="preserve">     +     H</t>
    </r>
    <r>
      <rPr>
        <vertAlign val="subscript"/>
        <sz val="11"/>
        <rFont val="Times New Roman"/>
        <family val="1"/>
      </rPr>
      <t>2</t>
    </r>
    <r>
      <rPr>
        <sz val="11"/>
        <rFont val="Times New Roman"/>
        <family val="1"/>
      </rPr>
      <t>O                    2C</t>
    </r>
    <r>
      <rPr>
        <vertAlign val="subscript"/>
        <sz val="11"/>
        <rFont val="Times New Roman"/>
        <family val="1"/>
      </rPr>
      <t>2</t>
    </r>
    <r>
      <rPr>
        <sz val="11"/>
        <rFont val="Times New Roman"/>
        <family val="1"/>
      </rPr>
      <t>H</t>
    </r>
    <r>
      <rPr>
        <vertAlign val="subscript"/>
        <sz val="11"/>
        <rFont val="Times New Roman"/>
        <family val="1"/>
      </rPr>
      <t>5</t>
    </r>
    <r>
      <rPr>
        <sz val="11"/>
        <rFont val="Times New Roman"/>
        <family val="1"/>
      </rPr>
      <t>OH     +      2CO</t>
    </r>
    <r>
      <rPr>
        <vertAlign val="subscript"/>
        <sz val="11"/>
        <rFont val="Times New Roman"/>
        <family val="1"/>
      </rPr>
      <t>2</t>
    </r>
    <r>
      <rPr>
        <sz val="11"/>
        <rFont val="Times New Roman"/>
        <family val="1"/>
      </rPr>
      <t xml:space="preserve">      +      H</t>
    </r>
    <r>
      <rPr>
        <vertAlign val="subscript"/>
        <sz val="11"/>
        <rFont val="Times New Roman"/>
        <family val="1"/>
      </rPr>
      <t>2</t>
    </r>
    <r>
      <rPr>
        <sz val="11"/>
        <rFont val="Times New Roman"/>
        <family val="1"/>
      </rPr>
      <t>O</t>
    </r>
  </si>
  <si>
    <t>Isomerised hop extract (ml)</t>
  </si>
  <si>
    <t>250 ml</t>
  </si>
  <si>
    <t xml:space="preserve">         Tea tannin is not the same as grape tannin, neither is most shop-bought tannins as they are made from re-cycled chestnut/oak trees etc.</t>
  </si>
  <si>
    <t xml:space="preserve">       lb       /     oz</t>
  </si>
  <si>
    <t xml:space="preserve">       lb    OR      oz     OR    lb        /     oz</t>
  </si>
  <si>
    <t>Length/Height Conversions</t>
  </si>
  <si>
    <r>
      <t>Disclaimer</t>
    </r>
    <r>
      <rPr>
        <sz val="9"/>
        <color indexed="23"/>
        <rFont val="Times New Roman"/>
        <family val="1"/>
      </rPr>
      <t xml:space="preserve">: </t>
    </r>
    <r>
      <rPr>
        <sz val="9"/>
        <rFont val="Times New Roman"/>
        <family val="1"/>
      </rPr>
      <t>No responsibility is assumed or implied as a result of using this spreadsheet.</t>
    </r>
  </si>
  <si>
    <t>Many thanks to James on</t>
  </si>
  <si>
    <r>
      <t xml:space="preserve">Fluid </t>
    </r>
    <r>
      <rPr>
        <sz val="10"/>
        <color indexed="10"/>
        <rFont val="Times New Roman"/>
        <family val="0"/>
      </rPr>
      <t>UK</t>
    </r>
  </si>
  <si>
    <r>
      <t xml:space="preserve">Fluid </t>
    </r>
    <r>
      <rPr>
        <sz val="10"/>
        <color indexed="10"/>
        <rFont val="Times New Roman"/>
        <family val="0"/>
      </rPr>
      <t>US</t>
    </r>
  </si>
  <si>
    <t xml:space="preserve">BELHAVEN 60/- MILD </t>
  </si>
  <si>
    <t>1 level tsp (5ml) sugar =</t>
  </si>
  <si>
    <t>A Few Typical Beer Styles Carbonation Levels.</t>
  </si>
  <si>
    <t>8.3-22</t>
  </si>
  <si>
    <t>Metric measures</t>
  </si>
  <si>
    <t>UK measures</t>
  </si>
  <si>
    <t>US measures</t>
  </si>
  <si>
    <t>SG = Kg/cubic metre.</t>
  </si>
  <si>
    <t>Split the racked beer into two parts, "Vol. 1" &amp; "Vol. 2". Heat "Vol. 2" for 25-30 mins at a temperature of between 80-85°C (ethyl alcohol boils at about 78°C). After heating this reduced vol. becomes "Vol. 3" which may be topped-up as required .When cool, mix the beers, prime &amp; bottle.</t>
  </si>
  <si>
    <t>Underweight</t>
  </si>
  <si>
    <t>Normal</t>
  </si>
  <si>
    <t>Overweight</t>
  </si>
  <si>
    <t>Obese</t>
  </si>
  <si>
    <t>Brew efficiency</t>
  </si>
  <si>
    <t xml:space="preserve"> - useful for weighing hops?)</t>
  </si>
  <si>
    <t>(From Royal Mint web-site</t>
  </si>
  <si>
    <r>
      <t xml:space="preserve">Figures used in calculations which may be amended, copy the required data from the </t>
    </r>
    <r>
      <rPr>
        <i/>
        <sz val="8"/>
        <color indexed="10"/>
        <rFont val="Times New Roman"/>
        <family val="1"/>
      </rPr>
      <t>SOURCE INFO</t>
    </r>
    <r>
      <rPr>
        <sz val="8"/>
        <rFont val="Times New Roman"/>
        <family val="1"/>
      </rPr>
      <t xml:space="preserve"> below to this table.</t>
    </r>
  </si>
  <si>
    <t>NOTES:-</t>
  </si>
  <si>
    <t>g/litre</t>
  </si>
  <si>
    <t>Other (3)</t>
  </si>
  <si>
    <t>For more info. about "cabonation" see "Beer Primer" page.</t>
  </si>
  <si>
    <t>Bateman's Victory Ale</t>
  </si>
  <si>
    <t>My version of the calculator produces less precision in the calculations. Note the different procedures employed.</t>
  </si>
  <si>
    <t>HIDDEN COLUMNS</t>
  </si>
  <si>
    <t>HOP CALCS</t>
  </si>
  <si>
    <t>Sugar added</t>
  </si>
  <si>
    <t>Between 25-30</t>
  </si>
  <si>
    <t>Between 20-25</t>
  </si>
  <si>
    <t>Over 30</t>
  </si>
  <si>
    <t xml:space="preserve">Less than 20 </t>
  </si>
  <si>
    <t>Beer Name</t>
  </si>
  <si>
    <t>after the boil.</t>
  </si>
  <si>
    <t>at start of the boil.</t>
  </si>
  <si>
    <t>COL</t>
  </si>
  <si>
    <t>ATTEN</t>
  </si>
  <si>
    <t>MALTS &amp; SUGARS</t>
  </si>
  <si>
    <t>% Sugars</t>
  </si>
  <si>
    <t>HOPS</t>
  </si>
  <si>
    <t>% AA</t>
  </si>
  <si>
    <t>Not sure about this info but it's better than nowt! (Possibly.)</t>
  </si>
  <si>
    <t xml:space="preserve"> "Max" ammouts using</t>
  </si>
  <si>
    <t>"Max" % for</t>
  </si>
  <si>
    <t>If your measured figures do not tally with any of the calculations, do not be surprised, just enter your own gravities &amp; get a new % ABV figure.</t>
  </si>
  <si>
    <t># "Extract Max" refers to "Sold As" figures as opposed to "Dry" which can be typically 3-8% higher owing to the lower moisture content.
Colours are "mid-range" figures &amp; can easily vary by 15% or more.
Every manufacturer seems to give different figures for the same "product"!</t>
  </si>
  <si>
    <t>Fermentables</t>
  </si>
  <si>
    <t>Copyright Peter J. Laycock 28~10~'14</t>
  </si>
  <si>
    <t xml:space="preserve">   This is equivalent to</t>
  </si>
  <si>
    <t>The following units are metric as are my other spreadsheets.</t>
  </si>
  <si>
    <r>
      <t>Total "sugars"</t>
    </r>
    <r>
      <rPr>
        <sz val="9"/>
        <color indexed="17"/>
        <rFont val="Times New Roman"/>
        <family val="1"/>
      </rPr>
      <t xml:space="preserve"> </t>
    </r>
    <r>
      <rPr>
        <sz val="9"/>
        <color indexed="50"/>
        <rFont val="Times New Roman"/>
        <family val="1"/>
      </rPr>
      <t>(exc.primer)</t>
    </r>
  </si>
  <si>
    <t>vol. used inc any top-up water</t>
  </si>
  <si>
    <t xml:space="preserve">vol. for 0% ABV </t>
  </si>
  <si>
    <t>Atten NO sug</t>
  </si>
  <si>
    <t>X69</t>
  </si>
  <si>
    <t>X72</t>
  </si>
  <si>
    <t>X73</t>
  </si>
  <si>
    <t>sug</t>
  </si>
  <si>
    <t>For more information about "carbonation" see "Beer Primer" page.</t>
  </si>
  <si>
    <t>HIDDEN COLUMNS Malts</t>
  </si>
  <si>
    <t>FRMENT</t>
  </si>
  <si>
    <t>Yeast efficiency % (76.26 nom.)</t>
  </si>
  <si>
    <t>Carbonation (Atm.)</t>
  </si>
  <si>
    <t>For a bottle/glass size of</t>
  </si>
  <si>
    <t>m1</t>
  </si>
  <si>
    <t>pint</t>
  </si>
  <si>
    <t>fl oz</t>
  </si>
  <si>
    <t>Calories from the alcohol</t>
  </si>
  <si>
    <t>Calories from the residual sugars</t>
  </si>
  <si>
    <t>Carbohydrates</t>
  </si>
  <si>
    <t>Fluid</t>
  </si>
  <si>
    <r>
      <t xml:space="preserve">fl oz </t>
    </r>
    <r>
      <rPr>
        <sz val="10"/>
        <color indexed="10"/>
        <rFont val="Times New Roman"/>
        <family val="1"/>
      </rPr>
      <t>US</t>
    </r>
  </si>
  <si>
    <r>
      <t xml:space="preserve">fl oz </t>
    </r>
    <r>
      <rPr>
        <sz val="10"/>
        <color indexed="10"/>
        <rFont val="Times New Roman"/>
        <family val="1"/>
      </rPr>
      <t>Imp</t>
    </r>
  </si>
  <si>
    <t>Total calories</t>
  </si>
  <si>
    <t>/ ml</t>
  </si>
  <si>
    <t>lbs</t>
  </si>
  <si>
    <t>oz</t>
  </si>
  <si>
    <t>tsp</t>
  </si>
  <si>
    <t>C</t>
  </si>
  <si>
    <t>Attn. Malt</t>
  </si>
  <si>
    <t>Attn. Sug</t>
  </si>
  <si>
    <t>Attn. no Sug</t>
  </si>
  <si>
    <t>Moisture content of the "dried" hops</t>
  </si>
  <si>
    <t>Attenuation %</t>
  </si>
  <si>
    <t xml:space="preserve">    Wt. g OR Wt. Kg</t>
  </si>
  <si>
    <r>
      <t>Gravity Calculations</t>
    </r>
    <r>
      <rPr>
        <b/>
        <sz val="10"/>
        <rFont val="Times New Roman"/>
        <family val="1"/>
      </rPr>
      <t xml:space="preserve"> (for beers)</t>
    </r>
  </si>
  <si>
    <t>1st hop Wt (oz)</t>
  </si>
  <si>
    <t>IMPORTANT NOTES:-</t>
  </si>
  <si>
    <t>Liter</t>
  </si>
  <si>
    <t>2nd hop  Wt (oz)</t>
  </si>
  <si>
    <t>3rd hop  Wt (oz)</t>
  </si>
  <si>
    <t>g/l</t>
  </si>
  <si>
    <t xml:space="preserve">OR  </t>
  </si>
  <si>
    <r>
      <t>Boil vol.</t>
    </r>
    <r>
      <rPr>
        <sz val="10"/>
        <color indexed="10"/>
        <rFont val="Times New Roman"/>
        <family val="1"/>
      </rPr>
      <t xml:space="preserve"> (LITRES)</t>
    </r>
  </si>
  <si>
    <t>Metric</t>
  </si>
  <si>
    <t>EXTRACT MAX #</t>
  </si>
  <si>
    <t>°/lb/gall</t>
  </si>
  <si>
    <t xml:space="preserve"> MAX #</t>
  </si>
  <si>
    <t>(76% nominally)</t>
  </si>
  <si>
    <r>
      <t>O.G.</t>
    </r>
    <r>
      <rPr>
        <sz val="10"/>
        <color indexed="17"/>
        <rFont val="Times New Roman"/>
        <family val="1"/>
      </rPr>
      <t xml:space="preserve"> (exc. primer)</t>
    </r>
  </si>
  <si>
    <r>
      <t xml:space="preserve">"Effective" O.G. </t>
    </r>
    <r>
      <rPr>
        <sz val="10"/>
        <color indexed="10"/>
        <rFont val="Times New Roman"/>
        <family val="1"/>
      </rPr>
      <t>(inc. primer)</t>
    </r>
  </si>
  <si>
    <r>
      <t>F.G.</t>
    </r>
    <r>
      <rPr>
        <sz val="10"/>
        <color indexed="54"/>
        <rFont val="Times New Roman"/>
        <family val="1"/>
      </rPr>
      <t xml:space="preserve"> </t>
    </r>
    <r>
      <rPr>
        <sz val="10"/>
        <color indexed="17"/>
        <rFont val="Times New Roman"/>
        <family val="1"/>
      </rPr>
      <t>(exc. primer)</t>
    </r>
  </si>
  <si>
    <r>
      <t>"Effective" F.G.</t>
    </r>
    <r>
      <rPr>
        <sz val="10"/>
        <color indexed="10"/>
        <rFont val="Times New Roman"/>
        <family val="1"/>
      </rPr>
      <t xml:space="preserve"> (inc. primer)</t>
    </r>
  </si>
  <si>
    <r>
      <t>% Alcohol</t>
    </r>
    <r>
      <rPr>
        <sz val="10"/>
        <color indexed="10"/>
        <rFont val="Times New Roman"/>
        <family val="1"/>
      </rPr>
      <t xml:space="preserve"> </t>
    </r>
    <r>
      <rPr>
        <sz val="10"/>
        <color indexed="17"/>
        <rFont val="Times New Roman"/>
        <family val="1"/>
      </rPr>
      <t>(exc. primer)</t>
    </r>
  </si>
  <si>
    <r>
      <t>% Alcohol</t>
    </r>
    <r>
      <rPr>
        <sz val="10"/>
        <color indexed="10"/>
        <rFont val="Times New Roman"/>
        <family val="1"/>
      </rPr>
      <t xml:space="preserve"> (inc. primer)</t>
    </r>
  </si>
  <si>
    <r>
      <t xml:space="preserve">Carbonation </t>
    </r>
    <r>
      <rPr>
        <sz val="10"/>
        <color indexed="17"/>
        <rFont val="Times New Roman"/>
        <family val="1"/>
      </rPr>
      <t>(exc. primer)</t>
    </r>
  </si>
  <si>
    <r>
      <t xml:space="preserve">Carbonation </t>
    </r>
    <r>
      <rPr>
        <sz val="10"/>
        <color indexed="10"/>
        <rFont val="Times New Roman"/>
        <family val="1"/>
      </rPr>
      <t>(inc. primer)</t>
    </r>
  </si>
  <si>
    <r>
      <t>Total "sugars"</t>
    </r>
    <r>
      <rPr>
        <sz val="10"/>
        <color indexed="55"/>
        <rFont val="Times New Roman"/>
        <family val="1"/>
      </rPr>
      <t xml:space="preserve"> </t>
    </r>
    <r>
      <rPr>
        <sz val="10"/>
        <color indexed="45"/>
        <rFont val="Times New Roman"/>
        <family val="1"/>
      </rPr>
      <t>(inc. primer)</t>
    </r>
  </si>
  <si>
    <t>Bitterness EBU</t>
  </si>
  <si>
    <t>(Sugars added after the boil - METHOD 1a)</t>
  </si>
  <si>
    <t>(Sugars added at start of the boil - METHOD 1b)</t>
  </si>
  <si>
    <t>(Coloured malts/hops only in the boil - METHOD 2)</t>
  </si>
  <si>
    <t>Lambic/Gueze</t>
  </si>
  <si>
    <t>Invert sugar - cane equiv.</t>
  </si>
  <si>
    <t>O.G. (exc. priming sugar)</t>
  </si>
  <si>
    <t>Hop Drying</t>
  </si>
  <si>
    <t>% (nominally 80%)</t>
  </si>
  <si>
    <t>Freshly harvested hops contain about 76-84% moisture, this needs to be reduced to 8-12% for our use.</t>
  </si>
  <si>
    <t>Wt dry</t>
  </si>
  <si>
    <t>F.G. (exc. priming sugar)</t>
  </si>
  <si>
    <t>% Alcohol (inc. primer)</t>
  </si>
  <si>
    <t>Attn.</t>
  </si>
  <si>
    <t>O.G. (inc. priming sugar)</t>
  </si>
  <si>
    <t>F.G. (inc. priming sugar)</t>
  </si>
  <si>
    <t>EXTRACT</t>
  </si>
  <si>
    <t>FERMENT-</t>
  </si>
  <si>
    <t>COLOUR</t>
  </si>
  <si>
    <t>ABILITY</t>
  </si>
  <si>
    <t>Pale malt</t>
  </si>
  <si>
    <t>This is mainly for diabetes suffers. All figures are approximate.</t>
  </si>
  <si>
    <t>Hydrometer Temp. Correction</t>
  </si>
  <si>
    <r>
      <t xml:space="preserve">US </t>
    </r>
    <r>
      <rPr>
        <sz val="10.5"/>
        <rFont val="Times New Roman"/>
        <family val="1"/>
      </rPr>
      <t>Gall.</t>
    </r>
  </si>
  <si>
    <r>
      <t xml:space="preserve">UK </t>
    </r>
    <r>
      <rPr>
        <sz val="10.5"/>
        <rFont val="Times New Roman"/>
        <family val="1"/>
      </rPr>
      <t>Pt.</t>
    </r>
  </si>
  <si>
    <r>
      <t>UK</t>
    </r>
    <r>
      <rPr>
        <sz val="10.5"/>
        <rFont val="Times New Roman"/>
        <family val="1"/>
      </rPr>
      <t xml:space="preserve"> Gall.</t>
    </r>
  </si>
  <si>
    <r>
      <t>CALORIE/UNIT COUNTER</t>
    </r>
  </si>
  <si>
    <t>The hop calculations use the Glenn Tinseth method for loose, whole hops. If the hops are used in a mesh bag, use about 10% more. When using hop pellets, use about 10% fewer.</t>
  </si>
  <si>
    <r>
      <t xml:space="preserve">Note:- The hop bitterness calculations may give different figures to the </t>
    </r>
    <r>
      <rPr>
        <sz val="10"/>
        <color indexed="10"/>
        <rFont val="Times New Roman"/>
        <family val="1"/>
      </rPr>
      <t>Beer Calc</t>
    </r>
    <r>
      <rPr>
        <sz val="10"/>
        <color indexed="8"/>
        <rFont val="Times New Roman"/>
        <family val="1"/>
      </rPr>
      <t xml:space="preserve">  owing to the different processes used.</t>
    </r>
  </si>
  <si>
    <t>Mild Ale malt</t>
  </si>
  <si>
    <t>Lager malt (Pilsner)</t>
  </si>
  <si>
    <t>Extract (wet -light)</t>
  </si>
  <si>
    <t>Extract (dry - light)</t>
  </si>
  <si>
    <t>Flaked barley</t>
  </si>
  <si>
    <t>Flaked maize</t>
  </si>
  <si>
    <t>SOURCE INFO.</t>
  </si>
  <si>
    <t>Copy</t>
  </si>
  <si>
    <t>DO NOT copy</t>
  </si>
  <si>
    <t>COLOUR EFFICIENCY %</t>
  </si>
  <si>
    <t>USEABLE</t>
  </si>
  <si>
    <t>Amber malt</t>
  </si>
  <si>
    <t>2 litres</t>
  </si>
  <si>
    <t>1 litre</t>
  </si>
  <si>
    <t>0.5 litres</t>
  </si>
  <si>
    <t>0.25 litres</t>
  </si>
  <si>
    <t>2000 ml</t>
  </si>
  <si>
    <t>1000 ml</t>
  </si>
  <si>
    <t>500 ml</t>
  </si>
  <si>
    <t xml:space="preserve"> UK Coin Weights </t>
  </si>
  <si>
    <t>Malt &amp; Sugar Conversion Calculators</t>
  </si>
  <si>
    <t>Extract (DRY)</t>
  </si>
  <si>
    <t>INVERT Sugar</t>
  </si>
  <si>
    <t>Extract (WET)</t>
  </si>
  <si>
    <t>CANE Sugar</t>
  </si>
  <si>
    <t>"Old" Extract (WET)</t>
  </si>
  <si>
    <t>Brown malt</t>
  </si>
  <si>
    <t>Munich malt</t>
  </si>
  <si>
    <t xml:space="preserve">     "Base" malts - mashing required</t>
  </si>
  <si>
    <t xml:space="preserve">      (assume 100% max unless otherwise stated)</t>
  </si>
  <si>
    <t>Vienna malt</t>
  </si>
  <si>
    <t>Bottle/glass size</t>
  </si>
  <si>
    <t>Wheat malt</t>
  </si>
  <si>
    <t>Other</t>
  </si>
  <si>
    <t>Extract (wet -extra light)</t>
  </si>
  <si>
    <t>Extract (wet -amber/medium)</t>
  </si>
  <si>
    <t>Extract (wet -dark)</t>
  </si>
  <si>
    <t>Extract (wet -wheat)</t>
  </si>
  <si>
    <r>
      <t xml:space="preserve"> Higher values lead to a better "set". Aim for at least "</t>
    </r>
    <r>
      <rPr>
        <b/>
        <sz val="10.5"/>
        <color indexed="14"/>
        <rFont val="Times New Roman"/>
        <family val="1"/>
      </rPr>
      <t>Medium</t>
    </r>
    <r>
      <rPr>
        <sz val="10.5"/>
        <rFont val="Times New Roman"/>
        <family val="0"/>
      </rPr>
      <t>".</t>
    </r>
  </si>
  <si>
    <t>The Beer Kit Modifier calculator will probably the first calculator the inquisitive kit brewer would want to use, reducing the volume and the amount of sugar used is the easiest way to improve a beer. I find that reducing the recommended volume by 20% (5 UK gall to 4 UK gall) and halving the quantity of sugar generally gives very good results but the bitterness is increased proportionately. Big improvements can also be made by replacing some or all of the sugar with malt extract. For more information visit:</t>
  </si>
  <si>
    <r>
      <t xml:space="preserve">See the </t>
    </r>
    <r>
      <rPr>
        <i/>
        <sz val="10.5"/>
        <rFont val="Times New Roman"/>
        <family val="1"/>
      </rPr>
      <t>Nutritional Facts</t>
    </r>
    <r>
      <rPr>
        <sz val="10.5"/>
        <rFont val="Times New Roman"/>
        <family val="1"/>
      </rPr>
      <t xml:space="preserve"> panel given on the container.</t>
    </r>
  </si>
  <si>
    <r>
      <t xml:space="preserve">See the </t>
    </r>
    <r>
      <rPr>
        <i/>
        <sz val="10.5"/>
        <rFont val="Times New Roman"/>
        <family val="1"/>
      </rPr>
      <t>Nutritional Facts</t>
    </r>
    <r>
      <rPr>
        <sz val="10.5"/>
        <rFont val="Times New Roman"/>
        <family val="1"/>
      </rPr>
      <t xml:space="preserve"> panel given on the tin.</t>
    </r>
  </si>
  <si>
    <t>Initial must acidity =</t>
  </si>
  <si>
    <t>Final must acidity =</t>
  </si>
  <si>
    <t>Must tannin =</t>
  </si>
  <si>
    <t>Extract (dry - extra light)</t>
  </si>
  <si>
    <t>Extract (dry - medium)</t>
  </si>
  <si>
    <t>Extract (dry - dark)</t>
  </si>
  <si>
    <t>Extract (dry - extra dark)</t>
  </si>
  <si>
    <t>Extract (dry - wheat)</t>
  </si>
  <si>
    <t>Caramalt</t>
  </si>
  <si>
    <t>Carapils</t>
  </si>
  <si>
    <t>Brown sugar (medium)</t>
  </si>
  <si>
    <t>Brown sugar (dark)</t>
  </si>
  <si>
    <t xml:space="preserve">     Sugars/syrups - no mashing required</t>
  </si>
  <si>
    <t xml:space="preserve">Malto-dextrin </t>
  </si>
  <si>
    <t xml:space="preserve">      (assume 30% max unless otherwise stated)</t>
  </si>
  <si>
    <t>Barley syrup</t>
  </si>
  <si>
    <t>Glucose (maize) syrup</t>
  </si>
  <si>
    <t>Maltose (maize) syrup</t>
  </si>
  <si>
    <t>Flaked rice</t>
  </si>
  <si>
    <t xml:space="preserve">Flaked/Torrified barley </t>
  </si>
  <si>
    <t>Oats</t>
  </si>
  <si>
    <t xml:space="preserve">     Adjuncts - need mashing with base malts</t>
  </si>
  <si>
    <t>Torrified wheat</t>
  </si>
  <si>
    <t>Other Stuff Section</t>
  </si>
  <si>
    <t xml:space="preserve">      (assume 10% max unless otherwise stated)</t>
  </si>
  <si>
    <t xml:space="preserve">Wheat flakes </t>
  </si>
  <si>
    <t>Wheat flour</t>
  </si>
  <si>
    <t>Wheat malt/Malted wheat</t>
  </si>
  <si>
    <t>Invert sugars - SOLID</t>
  </si>
  <si>
    <t>min</t>
  </si>
  <si>
    <t>max</t>
  </si>
  <si>
    <t>Inv. sugar No. 1 dry</t>
  </si>
  <si>
    <t xml:space="preserve">   These are for "fine tuning" the acid &amp; pectin content of the jam.</t>
  </si>
  <si>
    <t>Inv. sugar No. 2 dry</t>
  </si>
  <si>
    <t>Inv. sugar No. 3 dry</t>
  </si>
  <si>
    <t>Boil vol. (litres)</t>
  </si>
  <si>
    <t>Boil time (mins)</t>
  </si>
  <si>
    <t>Inv. sugar No. 4 dry</t>
  </si>
  <si>
    <t>Invert sugars - LIQUID</t>
  </si>
  <si>
    <t>No. 1</t>
  </si>
  <si>
    <t>No. 2</t>
  </si>
  <si>
    <t>No. 3</t>
  </si>
  <si>
    <t>No. 4</t>
  </si>
  <si>
    <t>The darker a beer, the harder it is to estimate or discern its colour.</t>
  </si>
  <si>
    <t>When brewing dark beers, the colour extract efficiency reduces &amp; so calculation errors increase.</t>
  </si>
  <si>
    <r>
      <t>Volume CO</t>
    </r>
    <r>
      <rPr>
        <b/>
        <sz val="6"/>
        <rFont val="Times New Roman"/>
        <family val="1"/>
      </rPr>
      <t>2</t>
    </r>
  </si>
  <si>
    <r>
      <t>("2" would indicate 2 litres CO</t>
    </r>
    <r>
      <rPr>
        <sz val="6"/>
        <rFont val="Times New Roman"/>
        <family val="1"/>
      </rPr>
      <t>2</t>
    </r>
    <r>
      <rPr>
        <sz val="10"/>
        <rFont val="Times New Roman"/>
        <family val="1"/>
      </rPr>
      <t xml:space="preserve"> dissolved in 1 l beer.)</t>
    </r>
  </si>
  <si>
    <t>DME</t>
  </si>
  <si>
    <r>
      <t>NOTE:-</t>
    </r>
    <r>
      <rPr>
        <sz val="9"/>
        <rFont val="Times New Roman"/>
        <family val="1"/>
      </rPr>
      <t xml:space="preserve"> Metric units are my preferred system as they are universal &amp; do not suffer from the stupidities of the U. K. Imperial or (even worse) the U. S. systems.</t>
    </r>
  </si>
  <si>
    <t>°C (Max. 25)</t>
  </si>
  <si>
    <r>
      <t>% (Nominally 75%</t>
    </r>
    <r>
      <rPr>
        <sz val="8"/>
        <rFont val="Times New Roman"/>
        <family val="1"/>
      </rPr>
      <t xml:space="preserve"> - Wheeler &amp; Protz use 75%, BYO 65% )</t>
    </r>
  </si>
  <si>
    <t>Added bitterness (EBU)</t>
  </si>
  <si>
    <r>
      <t>Dextrose Monohydrate</t>
    </r>
    <r>
      <rPr>
        <sz val="5.5"/>
        <rFont val="Times New Roman"/>
        <family val="1"/>
      </rPr>
      <t xml:space="preserve"> (Brew./candi sugar)</t>
    </r>
  </si>
  <si>
    <t>Brewers Gold</t>
  </si>
  <si>
    <t>Tettnang</t>
  </si>
  <si>
    <t>Weight Converters</t>
  </si>
  <si>
    <t>Approximate Totals (g)</t>
  </si>
  <si>
    <t xml:space="preserve">°C </t>
  </si>
  <si>
    <t xml:space="preserve">°F </t>
  </si>
  <si>
    <r>
      <t>Calibrated Temp.</t>
    </r>
  </si>
  <si>
    <t>When adding water (see cell S16) to a recipe, always err on the side caution as you can add more later if required. The converse is rather more difficult!</t>
  </si>
  <si>
    <r>
      <t>Wt.</t>
    </r>
    <r>
      <rPr>
        <sz val="9"/>
        <rFont val="Times New Roman"/>
        <family val="1"/>
      </rPr>
      <t xml:space="preserve"> </t>
    </r>
    <r>
      <rPr>
        <sz val="10"/>
        <rFont val="Times New Roman"/>
        <family val="1"/>
      </rPr>
      <t>g</t>
    </r>
  </si>
  <si>
    <r>
      <t>Wt</t>
    </r>
    <r>
      <rPr>
        <sz val="7"/>
        <rFont val="Times New Roman"/>
        <family val="1"/>
      </rPr>
      <t xml:space="preserve">. </t>
    </r>
    <r>
      <rPr>
        <sz val="10"/>
        <rFont val="Times New Roman"/>
        <family val="1"/>
      </rPr>
      <t>oz</t>
    </r>
  </si>
  <si>
    <t xml:space="preserve">1 tsp sugar = </t>
  </si>
  <si>
    <t>Wt.</t>
  </si>
  <si>
    <t>Wt. g</t>
  </si>
  <si>
    <t>1Kg = 0.4536 lb</t>
  </si>
  <si>
    <t>Wt. (g)</t>
  </si>
  <si>
    <t>(2 units per day for women, 3 a day for men.)</t>
  </si>
  <si>
    <t xml:space="preserve">www.petespintpot.co.uk/kitmod.html </t>
  </si>
  <si>
    <t>% ABW</t>
  </si>
  <si>
    <t>Yeast efficiency % (attenuation)</t>
  </si>
  <si>
    <r>
      <t>Yeast Efficiency</t>
    </r>
    <r>
      <rPr>
        <sz val="7"/>
        <rFont val="Times New Roman"/>
        <family val="1"/>
      </rPr>
      <t xml:space="preserve"> % (atten)</t>
    </r>
  </si>
  <si>
    <t xml:space="preserve"> litres,  less estimated "sludge" of</t>
  </si>
  <si>
    <t>BMI (Body Mass Index)  =</t>
  </si>
  <si>
    <t>Initial vol. (litres)</t>
  </si>
  <si>
    <t>Copyright Peter J. Laycock 28~10~'7</t>
  </si>
  <si>
    <t>Wt</t>
  </si>
  <si>
    <t>Acid</t>
  </si>
  <si>
    <r>
      <t>MAIN Boil vol/time usually chosen to give</t>
    </r>
    <r>
      <rPr>
        <sz val="6"/>
        <color indexed="10"/>
        <rFont val="Times New Roman"/>
        <family val="1"/>
      </rPr>
      <t xml:space="preserve"> 20% Utilization</t>
    </r>
  </si>
  <si>
    <r>
      <t xml:space="preserve">MAIN Boil vol/time usually </t>
    </r>
    <r>
      <rPr>
        <b/>
        <sz val="6"/>
        <color indexed="10"/>
        <rFont val="Times New Roman"/>
        <family val="1"/>
      </rPr>
      <t>NOT</t>
    </r>
    <r>
      <rPr>
        <sz val="6"/>
        <rFont val="Times New Roman"/>
        <family val="1"/>
      </rPr>
      <t xml:space="preserve"> chosen to give 20% Utilization!</t>
    </r>
  </si>
  <si>
    <t>Read the "Disclaimer" at the bottom of this page.</t>
  </si>
  <si>
    <t>g</t>
  </si>
  <si>
    <t>%</t>
  </si>
  <si>
    <t>Kit extract (g)</t>
  </si>
  <si>
    <t>Additional wet extract (g)</t>
  </si>
  <si>
    <t>Additional dry extract (g)</t>
  </si>
  <si>
    <t>Invert sugar/cane equiv.</t>
  </si>
  <si>
    <t>Priming sugar</t>
  </si>
  <si>
    <t>Hallertauer ("Pacific")</t>
  </si>
  <si>
    <t>Hallertauer ("German")</t>
  </si>
  <si>
    <t xml:space="preserve"> tablet(s) Vit. B comp. give(s) a total of</t>
  </si>
  <si>
    <t>Prime the racked beer and split into two parts &amp; , "Vol. 1" &amp; "Vol. 2". Heat "Vol. 2" for 25-30 mins at a temperature of 80°C (ethyl alcohol boils at about 78°C) to create Vol.3. If desired, top up with water to the Vol for 0% ABV. When cool, this treated beer becomes "Vol. 4". Mix this with "Vol. 1" to create your new Reduced Alcohol Beer.</t>
  </si>
  <si>
    <t>IMPERIAL</t>
  </si>
  <si>
    <t>left-overs (ml.)</t>
  </si>
  <si>
    <t>For information about beer styles/colour/hopping rates etc. see "BJCP Beer Styles".</t>
  </si>
  <si>
    <t>hop bitterness</t>
  </si>
  <si>
    <t>OTHER</t>
  </si>
  <si>
    <t>ml</t>
  </si>
  <si>
    <t>litres</t>
  </si>
  <si>
    <t>% ABV (approx)</t>
  </si>
  <si>
    <t>ALWAYS WORK ON A COPY</t>
  </si>
  <si>
    <t>OF THIS SPREADSHEET</t>
  </si>
  <si>
    <t>% ABV</t>
  </si>
  <si>
    <t>"Original"</t>
  </si>
  <si>
    <t>approx.</t>
  </si>
  <si>
    <t>Note:- All Governments can ruin your health &amp; wealth!</t>
  </si>
  <si>
    <t>Converts sugar weights</t>
  </si>
  <si>
    <t>Cane</t>
  </si>
  <si>
    <t>"OLD" WET Malt Ext.</t>
  </si>
  <si>
    <t>Dry</t>
  </si>
  <si>
    <t>www.petespintpot.co.uk</t>
  </si>
  <si>
    <t xml:space="preserve">Check for the latest version on </t>
  </si>
  <si>
    <t>www.yobrew.co.uk</t>
  </si>
  <si>
    <t>Converts "old" malt wet extract to "new"</t>
  </si>
  <si>
    <t>Weight (g)</t>
  </si>
  <si>
    <t xml:space="preserve">Temperature Converter </t>
  </si>
  <si>
    <t xml:space="preserve"> To amend/modify any data, please refer to the "Technical Section".</t>
  </si>
  <si>
    <t>ALCOHOL</t>
  </si>
  <si>
    <t>ACIDITY</t>
  </si>
  <si>
    <t>TANNIN</t>
  </si>
  <si>
    <t>Brewing/resting temperature</t>
  </si>
  <si>
    <t xml:space="preserve">(Useful for old recipes/books etc.) </t>
  </si>
  <si>
    <t>wt hop</t>
  </si>
  <si>
    <t xml:space="preserve">www.petespintpot.co.uk </t>
  </si>
  <si>
    <t>Vol. 3</t>
  </si>
  <si>
    <t>Original</t>
  </si>
  <si>
    <t>calculated</t>
  </si>
  <si>
    <t>calculated %ABV</t>
  </si>
  <si>
    <t>Vol. 1</t>
  </si>
  <si>
    <t>Vol. 2</t>
  </si>
  <si>
    <t>Dosage</t>
  </si>
  <si>
    <t>Priming sugar wt.</t>
  </si>
  <si>
    <t xml:space="preserve">litres </t>
  </si>
  <si>
    <r>
      <t>RHUBARB</t>
    </r>
    <r>
      <rPr>
        <b/>
        <sz val="10.5"/>
        <rFont val="Times New Roman"/>
        <family val="1"/>
      </rPr>
      <t xml:space="preserve"> </t>
    </r>
    <r>
      <rPr>
        <b/>
        <sz val="10"/>
        <color indexed="10"/>
        <rFont val="Arial"/>
        <family val="2"/>
      </rPr>
      <t>▼</t>
    </r>
  </si>
  <si>
    <t>SUMMARY FOR</t>
  </si>
  <si>
    <t>Three Methods - 1a, 1b &amp; 2.</t>
  </si>
  <si>
    <t xml:space="preserve">▼ Technically rhubarb is a vegetable. DO NOT USE ALUMINIUM utensils as the acids present in this vegetable will react with these &amp; may ultimately lead to Alzheimer's disease. </t>
  </si>
  <si>
    <t xml:space="preserve">www.petespintpot.co.uk/index.html#PIGGY-BACK </t>
  </si>
  <si>
    <t xml:space="preserve">  A little left-over beer &amp; some sediment can be put to good use, see </t>
  </si>
  <si>
    <t>OR</t>
  </si>
  <si>
    <t>Invert sugars - SOLID &amp; LIQUID are the same when DILUTED!!!</t>
  </si>
  <si>
    <t>Check for the latest version on</t>
  </si>
  <si>
    <t>Ave.</t>
  </si>
  <si>
    <t>Low</t>
  </si>
  <si>
    <t>High</t>
  </si>
  <si>
    <t>Value</t>
  </si>
  <si>
    <t>American Ales</t>
  </si>
  <si>
    <t>Belgian Ales</t>
  </si>
  <si>
    <t>British Ales</t>
  </si>
  <si>
    <t>Temp</t>
  </si>
  <si>
    <t>°C</t>
  </si>
  <si>
    <t>CO2</t>
  </si>
  <si>
    <t>Deg</t>
  </si>
  <si>
    <t>Lagers (US &amp; Euro.)</t>
  </si>
  <si>
    <t>Lagers (Australian)</t>
  </si>
  <si>
    <t>wt</t>
  </si>
  <si>
    <t>Weizens &amp; Wheats</t>
  </si>
  <si>
    <t>Volume Converters</t>
  </si>
  <si>
    <t>Litre</t>
  </si>
  <si>
    <t>Porters &amp; Stouts</t>
  </si>
  <si>
    <t>Default</t>
  </si>
  <si>
    <t>settings</t>
  </si>
  <si>
    <t>User</t>
  </si>
  <si>
    <t>Atten malt</t>
  </si>
  <si>
    <t>Atten sug</t>
  </si>
  <si>
    <t>x52</t>
  </si>
  <si>
    <r>
      <t>Disclaimer</t>
    </r>
    <r>
      <rPr>
        <sz val="8"/>
        <color indexed="23"/>
        <rFont val="Times New Roman"/>
        <family val="0"/>
      </rPr>
      <t>: No responsibility is assumed or implied as a result of using this spreadsheet.</t>
    </r>
  </si>
  <si>
    <t xml:space="preserve">Weight of “wet” hops </t>
  </si>
  <si>
    <t>Iso-hop extract</t>
  </si>
  <si>
    <t xml:space="preserve">g, assumed moisture content of </t>
  </si>
  <si>
    <t>Note:-</t>
  </si>
  <si>
    <t xml:space="preserve">Additional help supplied by Andy of </t>
  </si>
  <si>
    <t>www.colchesterhomebrew.co.uk</t>
  </si>
  <si>
    <t>HIDE hops</t>
  </si>
  <si>
    <t>Hide</t>
  </si>
  <si>
    <t>k</t>
  </si>
  <si>
    <t>Figures used in all calculations</t>
  </si>
  <si>
    <t>Reduced Alcohol Beers (&amp; Wines)</t>
  </si>
  <si>
    <t>David's calculator.</t>
  </si>
  <si>
    <t>Vol.</t>
  </si>
  <si>
    <t>Wet</t>
  </si>
  <si>
    <t>Extract Efficiency</t>
  </si>
  <si>
    <r>
      <t>oz/pt</t>
    </r>
    <r>
      <rPr>
        <sz val="10"/>
        <color indexed="10"/>
        <rFont val="Times New Roman"/>
        <family val="1"/>
      </rPr>
      <t xml:space="preserve"> US</t>
    </r>
  </si>
  <si>
    <r>
      <t xml:space="preserve">oz/pt </t>
    </r>
    <r>
      <rPr>
        <sz val="10"/>
        <color indexed="10"/>
        <rFont val="Times New Roman"/>
        <family val="1"/>
      </rPr>
      <t>Imp</t>
    </r>
  </si>
  <si>
    <r>
      <t xml:space="preserve">lb/gal </t>
    </r>
    <r>
      <rPr>
        <sz val="10"/>
        <color indexed="10"/>
        <rFont val="Times New Roman"/>
        <family val="1"/>
      </rPr>
      <t>Imp</t>
    </r>
  </si>
  <si>
    <r>
      <t xml:space="preserve">lb/gal </t>
    </r>
    <r>
      <rPr>
        <sz val="10"/>
        <color indexed="10"/>
        <rFont val="Times New Roman"/>
        <family val="1"/>
      </rPr>
      <t>US</t>
    </r>
  </si>
  <si>
    <t>%  (Used for roasted malts - 75% nominally)</t>
  </si>
  <si>
    <t>Brewing/resting temp</t>
  </si>
  <si>
    <t>Malt Extract</t>
  </si>
  <si>
    <t>Sugar added at</t>
  </si>
  <si>
    <t>Hops</t>
  </si>
  <si>
    <t>Extract</t>
  </si>
  <si>
    <t>Ferment-</t>
  </si>
  <si>
    <t>Colour</t>
  </si>
  <si>
    <t>Bitterness</t>
  </si>
  <si>
    <t>DEG</t>
  </si>
  <si>
    <t>Atten.</t>
  </si>
  <si>
    <t>% Wt</t>
  </si>
  <si>
    <t>Sugars</t>
  </si>
  <si>
    <t>end of the boil.</t>
  </si>
  <si>
    <t>start of the boil.</t>
  </si>
  <si>
    <t>°/Kg/l.</t>
  </si>
  <si>
    <t>ability</t>
  </si>
  <si>
    <t>EBC</t>
  </si>
  <si>
    <t>EBU</t>
  </si>
  <si>
    <t>1st hop</t>
  </si>
  <si>
    <t>2nd hop</t>
  </si>
  <si>
    <t>3rd hop</t>
  </si>
  <si>
    <t>Separately</t>
  </si>
  <si>
    <t>Brambling Cross</t>
  </si>
  <si>
    <t>Bullion</t>
  </si>
  <si>
    <t>Challenger</t>
  </si>
  <si>
    <t>EKG</t>
  </si>
  <si>
    <t>Fuggles</t>
  </si>
  <si>
    <t>Goldings (Worc.)</t>
  </si>
  <si>
    <t>North Brewer</t>
  </si>
  <si>
    <t>Northdown</t>
  </si>
  <si>
    <t>Progress</t>
  </si>
  <si>
    <t>Saaz</t>
  </si>
  <si>
    <t>Styrian Goldings</t>
  </si>
  <si>
    <t>HIDE</t>
  </si>
  <si>
    <t>Target</t>
  </si>
  <si>
    <t>Tetnanger</t>
  </si>
  <si>
    <t>WGV</t>
  </si>
  <si>
    <t>Other (1)</t>
  </si>
  <si>
    <t>Other (2)</t>
  </si>
  <si>
    <t>Boil time</t>
  </si>
  <si>
    <t>Boil bitterness</t>
  </si>
  <si>
    <t>Coloured Malts</t>
  </si>
  <si>
    <t>% Utilization</t>
  </si>
  <si>
    <t>Initial vol. (litres) =</t>
  </si>
  <si>
    <t>Bitterness (EBU)</t>
  </si>
  <si>
    <t>Total</t>
  </si>
  <si>
    <t>O.G.</t>
  </si>
  <si>
    <t>F.G.</t>
  </si>
  <si>
    <t>or</t>
  </si>
  <si>
    <t>Total wts</t>
  </si>
  <si>
    <t>Yeast used</t>
  </si>
  <si>
    <t>Ale</t>
  </si>
  <si>
    <t>Check</t>
  </si>
  <si>
    <r>
      <t>Calculator for</t>
    </r>
    <r>
      <rPr>
        <sz val="10.5"/>
        <color indexed="63"/>
        <rFont val="Times New Roman"/>
        <family val="1"/>
      </rPr>
      <t xml:space="preserve"> </t>
    </r>
    <r>
      <rPr>
        <u val="single"/>
        <sz val="10.5"/>
        <color indexed="63"/>
        <rFont val="Times New Roman"/>
        <family val="1"/>
      </rPr>
      <t>FINISHED, DRY</t>
    </r>
    <r>
      <rPr>
        <u val="single"/>
        <sz val="10.5"/>
        <color indexed="23"/>
        <rFont val="Times New Roman"/>
        <family val="1"/>
      </rPr>
      <t xml:space="preserve"> </t>
    </r>
    <r>
      <rPr>
        <sz val="10.5"/>
        <color indexed="23"/>
        <rFont val="Times New Roman"/>
        <family val="1"/>
      </rPr>
      <t>wines only.</t>
    </r>
  </si>
  <si>
    <t>IMP./US.</t>
  </si>
  <si>
    <t>28~10~'15</t>
  </si>
  <si>
    <t>Denotes an "editable" cell, add your own data.</t>
  </si>
  <si>
    <t>OG</t>
  </si>
  <si>
    <t>No primer</t>
  </si>
  <si>
    <t>FG</t>
  </si>
  <si>
    <t>Primer</t>
  </si>
  <si>
    <t>Col</t>
  </si>
  <si>
    <t>Bitter</t>
  </si>
  <si>
    <t>Beer Style</t>
  </si>
  <si>
    <t>(For details, see the "Extract Calc.")</t>
  </si>
  <si>
    <t>This page is primarily intended for "mashers" but "extract" uses can it as well. although some very minor hop errors may occurs.</t>
  </si>
  <si>
    <t>Free to use - Not for sale.</t>
  </si>
  <si>
    <t>FIGURES USED IN ABOVE CALCULATOR. (All are editable.)</t>
  </si>
  <si>
    <t>WET - UNHOPPED</t>
  </si>
  <si>
    <t>Extra Light</t>
  </si>
  <si>
    <t>Light</t>
  </si>
  <si>
    <t>Amber</t>
  </si>
  <si>
    <t>Dark</t>
  </si>
  <si>
    <t>Extra dark</t>
  </si>
  <si>
    <t>Wheat (55%)</t>
  </si>
  <si>
    <t>WET - HOPPED</t>
  </si>
  <si>
    <t>DRY - UNHOPPED</t>
  </si>
  <si>
    <t>Medium</t>
  </si>
  <si>
    <t>DRY - HOPPED</t>
  </si>
  <si>
    <t>useable</t>
  </si>
  <si>
    <t>EFFIC. %</t>
  </si>
  <si>
    <t>Max #</t>
  </si>
  <si>
    <t>Black</t>
  </si>
  <si>
    <t>Chocolate</t>
  </si>
  <si>
    <t>Crystal (light)</t>
  </si>
  <si>
    <t>Vegetables are assumed to be boiled separately &amp; then stained out hence no wastage is allowed for.</t>
  </si>
  <si>
    <t>Crystal (medium)</t>
  </si>
  <si>
    <t>Crystal (dark)</t>
  </si>
  <si>
    <t>Roast barley</t>
  </si>
  <si>
    <t>Cane sugar</t>
  </si>
  <si>
    <t>Brown sugar (light)</t>
  </si>
  <si>
    <t>Invert sugar</t>
  </si>
  <si>
    <t>Lactose</t>
  </si>
  <si>
    <r>
      <t>Sugars</t>
    </r>
    <r>
      <rPr>
        <sz val="10"/>
        <color indexed="55"/>
        <rFont val="Times New Roman"/>
        <family val="1"/>
      </rPr>
      <t xml:space="preserve"> </t>
    </r>
    <r>
      <rPr>
        <sz val="9"/>
        <color indexed="55"/>
        <rFont val="Times New Roman"/>
        <family val="1"/>
      </rPr>
      <t>(30% max.)</t>
    </r>
  </si>
  <si>
    <t>Hidden</t>
  </si>
  <si>
    <t>US Gall</t>
  </si>
  <si>
    <t>UK Gall</t>
  </si>
  <si>
    <t>Quick ABV Estimator</t>
  </si>
  <si>
    <t>% ABV (approx.)</t>
  </si>
  <si>
    <t>hide</t>
  </si>
  <si>
    <t>Hop Converter</t>
  </si>
  <si>
    <t>Old</t>
  </si>
  <si>
    <t>New</t>
  </si>
  <si>
    <t>Weight</t>
  </si>
  <si>
    <t>Beer Kit Modifier</t>
  </si>
  <si>
    <t>Orig</t>
  </si>
  <si>
    <t>DEG/K/L</t>
  </si>
  <si>
    <t>FERMENT</t>
  </si>
  <si>
    <t>BEER 1</t>
  </si>
  <si>
    <t>BEER 2</t>
  </si>
  <si>
    <t>LME</t>
  </si>
  <si>
    <t>50/50 mix</t>
  </si>
  <si>
    <t>EBC (if known)</t>
  </si>
  <si>
    <t>EBU (if known)</t>
  </si>
  <si>
    <t>Units</t>
  </si>
  <si>
    <r>
      <t xml:space="preserve">US </t>
    </r>
    <r>
      <rPr>
        <sz val="10"/>
        <rFont val="Times New Roman"/>
        <family val="0"/>
      </rPr>
      <t>Pt.</t>
    </r>
  </si>
  <si>
    <r>
      <t>The amount of carbonation in bottle-conditioned homebrew is dependent on two things - the residual level of carbon dioxide after fermentation and the amount of carbonation added by the priming sugar. Low carbonation favours malty beers whilst high carbonation enhances "hoppiness".
Up to now I normally added approx. 3.15g/l (1 tsp) sugar to my (British) ales 6.3g/l (1 tsp) for my lagers, as you can see, I can now make a more informed choice to suit the brew conditions and style, hopefully avoiding volcanic beers and flat lagers!
When making highly carbonated drinks the safety factor must be considered. Over 12g sugar can be added per litre of beer, this dosage would give around 4 volumes (near enough 50psi) of CO</t>
    </r>
    <r>
      <rPr>
        <sz val="6"/>
        <rFont val="Times New Roman"/>
        <family val="1"/>
      </rPr>
      <t>2</t>
    </r>
    <r>
      <rPr>
        <sz val="11"/>
        <rFont val="Times New Roman"/>
        <family val="1"/>
      </rPr>
      <t xml:space="preserve"> after the secondary fermentation!</t>
    </r>
  </si>
  <si>
    <t>28~10~'17</t>
  </si>
  <si>
    <t>Safe drinking (UK units, 1 unit = 10ml alcohol).</t>
  </si>
  <si>
    <t>This allows you to estimate for the minimum of wastage when using a combination of two bottle sizes. (Use the largest size bottle first.)</t>
  </si>
  <si>
    <t>In the "boxed" example shown above</t>
  </si>
  <si>
    <t>DRY Extract</t>
  </si>
  <si>
    <t>WET Extract</t>
  </si>
  <si>
    <t>Pale MALT</t>
  </si>
  <si>
    <t>wt.</t>
  </si>
  <si>
    <t>Converts wet/dry malt extract weights</t>
  </si>
  <si>
    <t>Invert</t>
  </si>
  <si>
    <t>Converts malt to wet/dry extract weights</t>
  </si>
  <si>
    <t>Malt</t>
  </si>
  <si>
    <t xml:space="preserve">New </t>
  </si>
  <si>
    <t>(303°/Kg/l)</t>
  </si>
  <si>
    <t>Ext. wt</t>
  </si>
  <si>
    <t>(310°/Kg/l)</t>
  </si>
  <si>
    <t>in =</t>
  </si>
  <si>
    <t>m</t>
  </si>
  <si>
    <t>lb</t>
  </si>
  <si>
    <t>Kg</t>
  </si>
  <si>
    <r>
      <t>Carbonation (Volumes CO</t>
    </r>
    <r>
      <rPr>
        <sz val="6"/>
        <rFont val="Times New Roman"/>
        <family val="1"/>
      </rPr>
      <t>2</t>
    </r>
    <r>
      <rPr>
        <sz val="10"/>
        <rFont val="Times New Roman"/>
        <family val="0"/>
      </rPr>
      <t>)</t>
    </r>
  </si>
  <si>
    <r>
      <t>Carbonation (Vol CO</t>
    </r>
    <r>
      <rPr>
        <sz val="6"/>
        <rFont val="Times New Roman"/>
        <family val="1"/>
      </rPr>
      <t>2</t>
    </r>
    <r>
      <rPr>
        <sz val="10"/>
        <rFont val="Times New Roman"/>
        <family val="0"/>
      </rPr>
      <t>)</t>
    </r>
  </si>
  <si>
    <t>lb =</t>
  </si>
  <si>
    <t>BMI Calculator</t>
  </si>
  <si>
    <t>METRIC</t>
  </si>
  <si>
    <t>ft</t>
  </si>
  <si>
    <t>in</t>
  </si>
  <si>
    <t>Height</t>
  </si>
  <si>
    <t>st</t>
  </si>
  <si>
    <t>TECHNICAL SECTION</t>
  </si>
  <si>
    <t>To amend/modify any data, please refer to the "Technical Section".</t>
  </si>
  <si>
    <r>
      <t>For juices/drinks containing puréed fruit, allowances should be made in the "</t>
    </r>
    <r>
      <rPr>
        <sz val="10"/>
        <rFont val="Times New Roman"/>
        <family val="1"/>
      </rPr>
      <t>Assumed Waste</t>
    </r>
    <r>
      <rPr>
        <sz val="10"/>
        <color indexed="10"/>
        <rFont val="Times New Roman"/>
        <family val="1"/>
      </rPr>
      <t>" column, say 1% per every 1% purée as a starting point.</t>
    </r>
  </si>
  <si>
    <t>Rows from the first 5 columns may be copied &amp; pasted into the above table in order to appear in the calculators.</t>
  </si>
  <si>
    <t xml:space="preserve">     Caramelized malts - no mashing required</t>
  </si>
  <si>
    <t>SUMMARY</t>
  </si>
  <si>
    <t>Pre-heat</t>
  </si>
  <si>
    <t>Post-heat</t>
  </si>
  <si>
    <t>Initial Vol. (after racking)</t>
  </si>
  <si>
    <t>Priming sugar added</t>
  </si>
  <si>
    <t>% assumed (0 nominally)</t>
  </si>
  <si>
    <t xml:space="preserve">▼ DO NOT USE ALUMINIUM utensils with RHUBARB as the acids present in this vegetable will react with these &amp; may ultimately lead to Alzheimer's disease. </t>
  </si>
  <si>
    <t>Approx sweetening sugar (g/750ml)</t>
  </si>
  <si>
    <t>0-8.3</t>
  </si>
  <si>
    <t>22-33</t>
  </si>
  <si>
    <t>33-43</t>
  </si>
  <si>
    <t>43-52</t>
  </si>
  <si>
    <t>52+</t>
  </si>
  <si>
    <t>Dry/1</t>
  </si>
  <si>
    <t>Medium Dry/2</t>
  </si>
  <si>
    <t>Medium/3</t>
  </si>
  <si>
    <t>Med. Sweet/4</t>
  </si>
  <si>
    <t>Sweet/5</t>
  </si>
  <si>
    <t>Desert/6</t>
  </si>
  <si>
    <t>Style/Approx. Commercial equiv.</t>
  </si>
  <si>
    <t>"New" brew % ABV</t>
  </si>
  <si>
    <t>Version 1.3</t>
  </si>
  <si>
    <t>"New" brew Vol.</t>
  </si>
  <si>
    <t>"New" brew SG</t>
  </si>
  <si>
    <t>calc.</t>
  </si>
  <si>
    <t>°F</t>
  </si>
  <si>
    <t>METHOD 1</t>
  </si>
  <si>
    <t>Original Gravity</t>
  </si>
  <si>
    <t>Final Gravity</t>
  </si>
  <si>
    <t>METHOD 2</t>
  </si>
  <si>
    <t>Hops boiled with</t>
  </si>
  <si>
    <t>"coloured malts" only.</t>
  </si>
  <si>
    <t>end of the boil (1a).</t>
  </si>
  <si>
    <t>start of the boil (1b).</t>
  </si>
  <si>
    <t>Hops boiled with "coloured malts".</t>
  </si>
  <si>
    <t>litres (Vol. 1+ Vol. 4)</t>
  </si>
  <si>
    <t>Malts etc.</t>
  </si>
  <si>
    <t>% sug</t>
  </si>
  <si>
    <t>Fruit juices</t>
  </si>
  <si>
    <t>Tinned fruit</t>
  </si>
  <si>
    <t>Peter's Jam Calculator</t>
  </si>
  <si>
    <t>Please read the "Disclaimer" before using this spreadsheet.</t>
  </si>
  <si>
    <t>"Stone"</t>
  </si>
  <si>
    <t>Usable</t>
  </si>
  <si>
    <t>Acid*</t>
  </si>
  <si>
    <t>Water</t>
  </si>
  <si>
    <t>Cooking</t>
  </si>
  <si>
    <t>Factor</t>
  </si>
  <si>
    <t>Added ml</t>
  </si>
  <si>
    <t>Time (min)</t>
  </si>
  <si>
    <t>Ripe</t>
  </si>
  <si>
    <t>Under-ripe</t>
  </si>
  <si>
    <t>60+</t>
  </si>
  <si>
    <t>35+</t>
  </si>
  <si>
    <t>20+</t>
  </si>
  <si>
    <t>25+</t>
  </si>
  <si>
    <t>LITCHI</t>
  </si>
  <si>
    <t>Flesh</t>
  </si>
  <si>
    <t>30+</t>
  </si>
  <si>
    <t>PAPAYA</t>
  </si>
  <si>
    <t>75+</t>
  </si>
  <si>
    <t>PERSIMMON (Sharon Fruit)</t>
  </si>
  <si>
    <t>10+</t>
  </si>
  <si>
    <t>OTHER 1</t>
  </si>
  <si>
    <t>OTHER 2</t>
  </si>
  <si>
    <t>OTHER 3</t>
  </si>
  <si>
    <t>OTHER 4</t>
  </si>
  <si>
    <t>SUGAR CALCULATED</t>
  </si>
  <si>
    <t>WATER CALCULATED</t>
  </si>
  <si>
    <t>ALWAYS WORK ON A COPY OF THIS SPREADSHEET</t>
  </si>
  <si>
    <t>PECTIN ADDED (Powder)</t>
  </si>
  <si>
    <t>TOTAL ACID</t>
  </si>
  <si>
    <t>TOTAL PECTIN</t>
  </si>
  <si>
    <t>MINIMUM PAN VOLUME</t>
  </si>
  <si>
    <t>Insert your own figures in the green boxes.</t>
  </si>
  <si>
    <t>USER/RECIPE NOTES:-</t>
  </si>
  <si>
    <t>Jam Calculator</t>
  </si>
  <si>
    <t>As it says on the jar!</t>
  </si>
  <si>
    <t>ml (approx.)</t>
  </si>
  <si>
    <r>
      <t>Hop formula
The following info is derived from Glenn Tinseth’s web site.
The bitterness of a beer is a function of the wort gravity (G) &amp; the boil time (T).
% Hop utilization = f(G) x f(T)
Where
f(G) = 1.65 x 0.000125^(0.001Gb - 1000) &amp;
f(T) = [1 – e-^(</t>
    </r>
    <r>
      <rPr>
        <b/>
        <u val="single"/>
        <sz val="10"/>
        <color indexed="10"/>
        <rFont val="Times New Roman"/>
        <family val="1"/>
      </rPr>
      <t>0.04t</t>
    </r>
    <r>
      <rPr>
        <sz val="10"/>
        <rFont val="Times New Roman"/>
        <family val="0"/>
      </rPr>
      <t xml:space="preserve">)] / </t>
    </r>
    <r>
      <rPr>
        <b/>
        <u val="single"/>
        <sz val="10"/>
        <color indexed="10"/>
        <rFont val="Times New Roman"/>
        <family val="1"/>
      </rPr>
      <t>4.15</t>
    </r>
    <r>
      <rPr>
        <sz val="10"/>
        <rFont val="Times New Roman"/>
        <family val="0"/>
      </rPr>
      <t xml:space="preserve">
The numbers 1.65 &amp; 0.0125 in f(G) were empirically derived to fit the boil gravity (Gb) analysis data. In the f(T) equation, the number </t>
    </r>
    <r>
      <rPr>
        <b/>
        <u val="single"/>
        <sz val="10"/>
        <color indexed="10"/>
        <rFont val="Times New Roman"/>
        <family val="1"/>
      </rPr>
      <t>0.04</t>
    </r>
    <r>
      <rPr>
        <sz val="10"/>
        <rFont val="Times New Roman"/>
        <family val="0"/>
      </rPr>
      <t xml:space="preserve"> controls the shape of the utilization vs. time curve. The factor </t>
    </r>
    <r>
      <rPr>
        <b/>
        <u val="single"/>
        <sz val="10"/>
        <color indexed="10"/>
        <rFont val="Times New Roman"/>
        <family val="1"/>
      </rPr>
      <t>4.15</t>
    </r>
    <r>
      <rPr>
        <sz val="10"/>
        <rFont val="Times New Roman"/>
        <family val="0"/>
      </rPr>
      <t xml:space="preserve"> controls the maximum utilization value. This number may be adjusted to customize the curves to suit your own system. If you feel that you have a very vigorous boil or generally get more utilization from a given boil time or for any reason, you can reduce the number a small amount to 4 or 3.9. Likewise if you think that you are getting less utilization, then you can increase it by 1 or 2 tenths. Doing so will increase or decrease the utilization value for each time &amp; gravity in the table.
So, to alter the hop utilisation calculation, just modify the settings gives below.
Hop formula variables:-</t>
    </r>
  </si>
  <si>
    <t>Boil Gravity</t>
  </si>
  <si>
    <r>
      <t xml:space="preserve">MAIN Boil vol/time usually chosen to give </t>
    </r>
    <r>
      <rPr>
        <sz val="6"/>
        <color indexed="10"/>
        <rFont val="Times New Roman"/>
        <family val="1"/>
      </rPr>
      <t>20% Utilization</t>
    </r>
  </si>
  <si>
    <t>ml &amp; No.</t>
  </si>
  <si>
    <t>ml  =</t>
  </si>
  <si>
    <t>Bottling Guide</t>
  </si>
  <si>
    <t>Brew volume</t>
  </si>
  <si>
    <t>fg = og - atten (malt + sug)</t>
  </si>
  <si>
    <t>Vol. 4</t>
  </si>
  <si>
    <t>Initial Vol. in L (after racking)</t>
  </si>
  <si>
    <t>Top-up</t>
  </si>
  <si>
    <t>calculated Gravity</t>
  </si>
  <si>
    <t>Volume (litres)</t>
  </si>
  <si>
    <t>malt wt.</t>
  </si>
  <si>
    <t>Health Section</t>
  </si>
  <si>
    <t xml:space="preserve">The Government recommended units of alcohol per week is 14 for women and 21 for men. </t>
  </si>
  <si>
    <t>Figures used in calculations which may be amended.</t>
  </si>
  <si>
    <t>Additional help supplied by David at</t>
  </si>
  <si>
    <t>&amp; David at</t>
  </si>
  <si>
    <t>david.barrow@live.co.uk</t>
  </si>
  <si>
    <t>Honey (1 lb = 454g)</t>
  </si>
  <si>
    <t>"New" brew S. G.</t>
  </si>
  <si>
    <t>Peter's Beer Kit Calculators Etc.</t>
  </si>
  <si>
    <t>Peter's Beer Calculations</t>
  </si>
  <si>
    <t>Peter's Malt Extract Calculator</t>
  </si>
  <si>
    <t>litres total</t>
  </si>
  <si>
    <t>Bottle size</t>
  </si>
  <si>
    <t xml:space="preserve"> </t>
  </si>
  <si>
    <t>UK Pt.</t>
  </si>
  <si>
    <t>US Pt.</t>
  </si>
  <si>
    <r>
      <t>Coin denomination</t>
    </r>
    <r>
      <rPr>
        <sz val="9"/>
        <rFont val="Times New Roman"/>
        <family val="1"/>
      </rPr>
      <t xml:space="preserve"> (p)</t>
    </r>
  </si>
  <si>
    <t>General Converters</t>
  </si>
  <si>
    <t>(Sugars added after the boil)</t>
  </si>
  <si>
    <t>(Sugars added at start of the boil)</t>
  </si>
  <si>
    <t>Wine Calculator</t>
  </si>
  <si>
    <t xml:space="preserve">    Insert your own figures in the blue &amp; green boxes.</t>
  </si>
  <si>
    <t>The latter includes left-over pulp, "wastage" &amp; an allowance for any sweetening sugars used.</t>
  </si>
  <si>
    <t>Also used for calculating cider, meads etc.</t>
  </si>
  <si>
    <t>Summary for Finished Wine</t>
  </si>
  <si>
    <t>Typical Wine Parameters</t>
  </si>
  <si>
    <t>Calorie/unit counter.</t>
  </si>
  <si>
    <t>Priming Ciders &amp; Sparkling Wines</t>
  </si>
  <si>
    <t>Sugar Solutions (Syrups)</t>
  </si>
  <si>
    <t>Fortifying Wines</t>
  </si>
  <si>
    <t>Summary for Finished Beer</t>
  </si>
  <si>
    <t>Wt./Vol. Conversion</t>
  </si>
  <si>
    <t>Wt/Vol</t>
  </si>
  <si>
    <t>Kg/l</t>
  </si>
  <si>
    <t>Old % alpha acid</t>
  </si>
  <si>
    <t>New % alpha acid</t>
  </si>
  <si>
    <t>Old weight</t>
  </si>
  <si>
    <t>New weight</t>
  </si>
  <si>
    <t>Extract °/Kg/l.</t>
  </si>
  <si>
    <t>Alternatively</t>
  </si>
  <si>
    <t xml:space="preserve">OR </t>
  </si>
  <si>
    <t>"Easier" gravity notations used?</t>
  </si>
  <si>
    <t>No. of bottles/glasses</t>
  </si>
  <si>
    <r>
      <t xml:space="preserve">UK </t>
    </r>
    <r>
      <rPr>
        <sz val="10"/>
        <rFont val="Times New Roman"/>
        <family val="1"/>
      </rPr>
      <t>pt</t>
    </r>
  </si>
  <si>
    <r>
      <t>US</t>
    </r>
    <r>
      <rPr>
        <sz val="10"/>
        <rFont val="Times New Roman"/>
        <family val="1"/>
      </rPr>
      <t xml:space="preserve"> fl oz</t>
    </r>
  </si>
  <si>
    <r>
      <t>WARNING!</t>
    </r>
    <r>
      <rPr>
        <sz val="11"/>
        <rFont val="Times New Roman"/>
        <family val="0"/>
      </rPr>
      <t xml:space="preserve">  </t>
    </r>
    <r>
      <rPr>
        <sz val="10"/>
        <rFont val="Times New Roman"/>
        <family val="1"/>
      </rPr>
      <t>Do not use this if you are of a sensitive nature.</t>
    </r>
  </si>
  <si>
    <t>There is no reason why these calculators cannot be used for wines etc. - as long as you omit any priming sugars!</t>
  </si>
  <si>
    <t xml:space="preserve">Woodforde's Norfolk Wherry </t>
  </si>
  <si>
    <t>litres (Vol. 1+ Vol. 3)</t>
  </si>
  <si>
    <t>Sugar (granulated)</t>
  </si>
  <si>
    <r>
      <t xml:space="preserve">    </t>
    </r>
    <r>
      <rPr>
        <u val="single"/>
        <sz val="11"/>
        <color indexed="14"/>
        <rFont val="Times New Roman"/>
        <family val="1"/>
      </rPr>
      <t>Metric measures</t>
    </r>
  </si>
  <si>
    <t>mcg = microgram</t>
  </si>
  <si>
    <t>No information available, value "guessed".</t>
  </si>
  <si>
    <t>Thiamine</t>
  </si>
  <si>
    <t>Niacin</t>
  </si>
  <si>
    <t>Pantothenic acid</t>
  </si>
  <si>
    <t>Pyroxidin</t>
  </si>
  <si>
    <t>Stuff which may be ignored.</t>
  </si>
  <si>
    <t>Mineral mg/100g</t>
  </si>
  <si>
    <t>Vit mg/100g multiply by 10 for ppm</t>
  </si>
  <si>
    <t>Assumed</t>
  </si>
  <si>
    <t>VEG.</t>
  </si>
  <si>
    <t>Sugar</t>
  </si>
  <si>
    <t>Tannin</t>
  </si>
  <si>
    <t>"Carbs"</t>
  </si>
  <si>
    <t>Pectin</t>
  </si>
  <si>
    <t>N (nit)</t>
  </si>
  <si>
    <t>K (pot)</t>
  </si>
  <si>
    <t>B1</t>
  </si>
  <si>
    <t>B3</t>
  </si>
  <si>
    <t>B5</t>
  </si>
  <si>
    <t>B6</t>
  </si>
  <si>
    <t>N</t>
  </si>
  <si>
    <t>K</t>
  </si>
  <si>
    <t>Ca</t>
  </si>
  <si>
    <t>Mg</t>
  </si>
  <si>
    <t>P</t>
  </si>
  <si>
    <t>P (ph)</t>
  </si>
  <si>
    <t>Waste.</t>
  </si>
  <si>
    <t>BEETROOT</t>
  </si>
  <si>
    <t>CARROT</t>
  </si>
  <si>
    <t>CELERY</t>
  </si>
  <si>
    <t>MARROW</t>
  </si>
  <si>
    <t>PARSNIP</t>
  </si>
  <si>
    <t>POTATO</t>
  </si>
  <si>
    <t xml:space="preserve">OTHER </t>
  </si>
  <si>
    <t>FRUIT</t>
  </si>
  <si>
    <t>Main</t>
  </si>
  <si>
    <t>Acid* is expressed as the equivalent amount of tartaric acid.</t>
  </si>
  <si>
    <t>Waste</t>
  </si>
  <si>
    <t xml:space="preserve">   g</t>
  </si>
  <si>
    <t>Version 1.31</t>
  </si>
  <si>
    <t>Isomerised hop extract</t>
  </si>
  <si>
    <r>
      <t xml:space="preserve">*Isomerised hop extract calculation based on Ritchie Products figures.  </t>
    </r>
    <r>
      <rPr>
        <sz val="10"/>
        <color indexed="10"/>
        <rFont val="Times New Roman"/>
        <family val="1"/>
      </rPr>
      <t xml:space="preserve">Do not boil hop extract!    </t>
    </r>
  </si>
  <si>
    <t>Units of alcohol (UK)</t>
  </si>
  <si>
    <t>1 Unit =</t>
  </si>
  <si>
    <t>ml alcohol</t>
  </si>
  <si>
    <t>in only</t>
  </si>
  <si>
    <t>ft  /  in</t>
  </si>
  <si>
    <r>
      <t xml:space="preserve">*Isomerised hop extract calculation based on Ritchie Products figures.  </t>
    </r>
    <r>
      <rPr>
        <sz val="10"/>
        <color indexed="10"/>
        <rFont val="Times New Roman"/>
        <family val="1"/>
      </rPr>
      <t>Do not boil.</t>
    </r>
  </si>
  <si>
    <t>Hop extract added (ml)</t>
  </si>
  <si>
    <t>Additional bitterness added</t>
  </si>
  <si>
    <t>jamesbsmith@hotmail.com.</t>
  </si>
  <si>
    <t>Total bitterness (EBU)</t>
  </si>
  <si>
    <t xml:space="preserve">fl oz </t>
  </si>
  <si>
    <t>acid</t>
  </si>
  <si>
    <t>APPLE</t>
  </si>
  <si>
    <t>COOK</t>
  </si>
  <si>
    <t>M</t>
  </si>
  <si>
    <t>Acid Comparator</t>
  </si>
  <si>
    <t>EAT</t>
  </si>
  <si>
    <t>Tartaric</t>
  </si>
  <si>
    <t>Citric</t>
  </si>
  <si>
    <t>Malic</t>
  </si>
  <si>
    <t>Sulph.</t>
  </si>
  <si>
    <t>CRAB</t>
  </si>
  <si>
    <t>APRICOT</t>
  </si>
  <si>
    <t>FLESH</t>
  </si>
  <si>
    <t>DRIED</t>
  </si>
  <si>
    <t>BANANA</t>
  </si>
  <si>
    <t>BILBERRY</t>
  </si>
  <si>
    <t>BLACKBERRY</t>
  </si>
  <si>
    <t>C/M</t>
  </si>
  <si>
    <t>BLACKCURRANT</t>
  </si>
  <si>
    <t>BLUEBERRY</t>
  </si>
  <si>
    <t>CHERRY</t>
  </si>
  <si>
    <t>BLACK</t>
  </si>
  <si>
    <t>RED</t>
  </si>
  <si>
    <t>CRANBERRY</t>
  </si>
  <si>
    <t>DAMSON</t>
  </si>
  <si>
    <t>DATE</t>
  </si>
  <si>
    <t>ELDERBERRY</t>
  </si>
  <si>
    <t>JUICE</t>
  </si>
  <si>
    <t>FIGS</t>
  </si>
  <si>
    <t>GOOSEBERRY</t>
  </si>
  <si>
    <t>GRAPE</t>
  </si>
  <si>
    <t>NO SKIN</t>
  </si>
  <si>
    <t>T</t>
  </si>
  <si>
    <t>SKIN</t>
  </si>
  <si>
    <t>GRAPE JUICE</t>
  </si>
  <si>
    <t>WHITE</t>
  </si>
  <si>
    <t>GRAPE CONC.</t>
  </si>
  <si>
    <t xml:space="preserve">Note the change of units </t>
  </si>
  <si>
    <t>GRAPEFRUIT</t>
  </si>
  <si>
    <t>GREENGAGE</t>
  </si>
  <si>
    <t>GUAVA</t>
  </si>
  <si>
    <t>KIWIFRUIT</t>
  </si>
  <si>
    <t>LEMON</t>
  </si>
  <si>
    <t>LITCHI (LYCHEE)</t>
  </si>
  <si>
    <t>LOGANBERRY</t>
  </si>
  <si>
    <t>MANGO</t>
  </si>
  <si>
    <t>MEDLAR</t>
  </si>
  <si>
    <t>MELON</t>
  </si>
  <si>
    <t>MULBERRY</t>
  </si>
  <si>
    <t>NECTARINE</t>
  </si>
  <si>
    <t>ORANGE</t>
  </si>
  <si>
    <t>PAPAYA (Pawpaw)</t>
  </si>
  <si>
    <t>PASSION FRUIT</t>
  </si>
  <si>
    <t>PEACH</t>
  </si>
  <si>
    <t>PEAR</t>
  </si>
  <si>
    <r>
      <t>PERSIMMON</t>
    </r>
    <r>
      <rPr>
        <sz val="9"/>
        <rFont val="Times New Roman"/>
        <family val="1"/>
      </rPr>
      <t xml:space="preserve"> (Sharon fuit)</t>
    </r>
  </si>
  <si>
    <t>PINEAPPLE</t>
  </si>
  <si>
    <t>PLUM</t>
  </si>
  <si>
    <t>PRUNES</t>
  </si>
  <si>
    <t>QUINCE</t>
  </si>
  <si>
    <t>RAIS/SULT/CURR.</t>
  </si>
  <si>
    <t>RASPBERRY</t>
  </si>
  <si>
    <t>REDCURRANT</t>
  </si>
  <si>
    <t>RHUBARB</t>
  </si>
  <si>
    <t>SLOE</t>
  </si>
  <si>
    <t>STRAWBERRY</t>
  </si>
  <si>
    <t>TANGERINE</t>
  </si>
  <si>
    <t>WATERMELON</t>
  </si>
  <si>
    <t>WHITECURRANT</t>
  </si>
  <si>
    <t>TINS</t>
  </si>
  <si>
    <t>(Check labels for sugar content)</t>
  </si>
  <si>
    <t>g/100g</t>
  </si>
  <si>
    <t>APRICOTS</t>
  </si>
  <si>
    <t>FRUIT SALAD</t>
  </si>
  <si>
    <t>BLACK CHERRIES</t>
  </si>
  <si>
    <t>PEACHES</t>
  </si>
  <si>
    <t>PEARS</t>
  </si>
  <si>
    <t>STRAWBERRIES</t>
  </si>
  <si>
    <t>JUICES</t>
  </si>
  <si>
    <t>Vol</t>
  </si>
  <si>
    <t>(Check labels for sugar &amp; preservatives)</t>
  </si>
  <si>
    <t>g/100ml</t>
  </si>
  <si>
    <t>"FIVE ALIVE"</t>
  </si>
  <si>
    <t>RIBENA</t>
  </si>
  <si>
    <t>CONC.</t>
  </si>
  <si>
    <t>SUMMER FRUITS</t>
  </si>
  <si>
    <t>PRUNE</t>
  </si>
  <si>
    <t>SUGAR - ADDED</t>
  </si>
  <si>
    <t>(nom. 1300)</t>
  </si>
  <si>
    <t>SOD. BICARB  - ADDED (approx.)</t>
  </si>
  <si>
    <t>ACID - ADDED (approx.)</t>
  </si>
  <si>
    <t>TANNIN - ADDED (approx.)</t>
  </si>
  <si>
    <t xml:space="preserve">         Read the instructions on the packaging BEFORE adding.</t>
  </si>
  <si>
    <t xml:space="preserve">         Any data given for tannin is un-reliable, careful design of your recipes is much better than adding additional tanning.</t>
  </si>
  <si>
    <t xml:space="preserve">             Nutrient &amp; Vitamin Section</t>
  </si>
  <si>
    <t>Total Nutrient &amp; Vitamin supplied by the "ingredients"</t>
  </si>
  <si>
    <t>mg</t>
  </si>
  <si>
    <t>mg/l N</t>
  </si>
  <si>
    <t>mg/l P</t>
  </si>
  <si>
    <t>mg/tab</t>
  </si>
  <si>
    <t xml:space="preserve">(Assume 1tsp nut. &amp; 1 Vit B tablet is eqiv. to 1tsp "Energiser") </t>
  </si>
  <si>
    <t>% juice (nom.75)</t>
  </si>
  <si>
    <t>Assume that rhubarb gives</t>
  </si>
  <si>
    <t>Red figures denote deficiencies</t>
  </si>
  <si>
    <t>Sweetening sugar to be used</t>
  </si>
  <si>
    <t>Style</t>
  </si>
  <si>
    <t>Sweet</t>
  </si>
  <si>
    <t>&lt;998</t>
  </si>
  <si>
    <t>998-1005</t>
  </si>
  <si>
    <t>1005-1010</t>
  </si>
  <si>
    <t>1010-1015</t>
  </si>
  <si>
    <t>1015-1020</t>
  </si>
  <si>
    <t>1020+</t>
  </si>
  <si>
    <t>Approx sweetening sugar (g/4.5 l)</t>
  </si>
  <si>
    <t>0-50</t>
  </si>
  <si>
    <t>50-130</t>
  </si>
  <si>
    <t>130-200</t>
  </si>
  <si>
    <t>200-260</t>
  </si>
  <si>
    <t>260-310</t>
  </si>
  <si>
    <t>310+</t>
  </si>
  <si>
    <t xml:space="preserve">FINAL BOTTLED VOLUME </t>
  </si>
  <si>
    <t>Assume a "wastage" vol. of</t>
  </si>
  <si>
    <t>Calculated "topping-up" water =</t>
  </si>
  <si>
    <t>Assume ingredient "wastage" vol. of</t>
  </si>
  <si>
    <t>ml (for solid ingredients)</t>
  </si>
  <si>
    <t>Giving a design must volume of</t>
  </si>
  <si>
    <t>litres excl. any sweetening sugar.</t>
  </si>
  <si>
    <t>ACTUAL MUST VOLUME USED</t>
  </si>
  <si>
    <t>litres after fermentation &amp; racking.</t>
  </si>
  <si>
    <t>ACTUAL MUST O.G.</t>
  </si>
  <si>
    <t>ACTUAL MUST F.G.</t>
  </si>
  <si>
    <t>ACTUAL MUST % ABV</t>
  </si>
  <si>
    <t xml:space="preserve">WINE TYPE </t>
  </si>
  <si>
    <t xml:space="preserve">DRY WHITE TABLE </t>
  </si>
  <si>
    <t>DRY RED TABLE</t>
  </si>
  <si>
    <t>ROSÉ TABLE</t>
  </si>
  <si>
    <t xml:space="preserve">SWEET WHITE </t>
  </si>
  <si>
    <t xml:space="preserve">SWEET RED </t>
  </si>
  <si>
    <t>DESSERT (FRUIT)</t>
  </si>
  <si>
    <t xml:space="preserve">DESSERT (PORT) </t>
  </si>
  <si>
    <t>SUMMARY FOR FINISHED WINE</t>
  </si>
  <si>
    <t xml:space="preserve">Name:- </t>
  </si>
  <si>
    <t>O. G.</t>
  </si>
  <si>
    <t>% ALC ABV</t>
  </si>
  <si>
    <t xml:space="preserve">10-13 </t>
  </si>
  <si>
    <t>11-13</t>
  </si>
  <si>
    <t>11-12</t>
  </si>
  <si>
    <t xml:space="preserve">12-15 </t>
  </si>
  <si>
    <t>13-18</t>
  </si>
  <si>
    <t>17-20</t>
  </si>
  <si>
    <t>F. G. (Before sweetening)</t>
  </si>
  <si>
    <t xml:space="preserve">% ACID </t>
  </si>
  <si>
    <t>0.50-0.70</t>
  </si>
  <si>
    <t>0.50-0.65</t>
  </si>
  <si>
    <t>0.60-0.75</t>
  </si>
  <si>
    <t>0.50-0.75</t>
  </si>
  <si>
    <t>0.40-0.65</t>
  </si>
  <si>
    <t>0.55-0.65</t>
  </si>
  <si>
    <t>0.40-0.50</t>
  </si>
  <si>
    <t>F. G. (After sweetening)</t>
  </si>
  <si>
    <t>% TANNIN</t>
  </si>
  <si>
    <t xml:space="preserve">&lt;0.04 </t>
  </si>
  <si>
    <t xml:space="preserve">0.09-0.3 </t>
  </si>
  <si>
    <t xml:space="preserve">0.04-0.09 </t>
  </si>
  <si>
    <t>0.15-0.3</t>
  </si>
  <si>
    <t>0.2-0.3</t>
  </si>
  <si>
    <t>Volume</t>
  </si>
  <si>
    <t>STYLE</t>
  </si>
  <si>
    <t>Med. Dry</t>
  </si>
  <si>
    <t>Med.</t>
  </si>
  <si>
    <t xml:space="preserve">Med. Sweet </t>
  </si>
  <si>
    <t>Dessert</t>
  </si>
  <si>
    <r>
      <t>Disclaimer</t>
    </r>
    <r>
      <rPr>
        <sz val="10"/>
        <color indexed="23"/>
        <rFont val="Times New Roman"/>
        <family val="1"/>
      </rPr>
      <t xml:space="preserve">: </t>
    </r>
    <r>
      <rPr>
        <sz val="10"/>
        <rFont val="Times New Roman"/>
        <family val="1"/>
      </rPr>
      <t>No responsibility is assumed or implied as a result of using this spreadsheet.</t>
    </r>
  </si>
  <si>
    <t>Many good wines could possibly not fit within these limits, but beware of any recipes displaying vast differences.</t>
  </si>
  <si>
    <t>CALORIE/UNIT COUNTER</t>
  </si>
  <si>
    <t xml:space="preserve">  (Mainly for diabetes suffers. All figures are approximate.) See the</t>
  </si>
  <si>
    <t>For a bottle size of (ml)</t>
  </si>
  <si>
    <t>Giving a total of</t>
  </si>
  <si>
    <t xml:space="preserve">Avoid adding excessive amounts of extra sugar to make a high alcohol drink as it will probably taste very "thin" and could give you a bad hangover.
</t>
  </si>
  <si>
    <t>NOTE:</t>
  </si>
  <si>
    <r>
      <t xml:space="preserve">UK </t>
    </r>
    <r>
      <rPr>
        <sz val="10"/>
        <rFont val="Times New Roman"/>
        <family val="0"/>
      </rPr>
      <t>pt</t>
    </r>
  </si>
  <si>
    <r>
      <t xml:space="preserve">US </t>
    </r>
    <r>
      <rPr>
        <sz val="10"/>
        <rFont val="Times New Roman"/>
        <family val="0"/>
      </rPr>
      <t>pt</t>
    </r>
  </si>
  <si>
    <r>
      <t>US</t>
    </r>
    <r>
      <rPr>
        <sz val="10"/>
        <rFont val="Times New Roman"/>
        <family val="0"/>
      </rPr>
      <t xml:space="preserve"> fl oz</t>
    </r>
  </si>
  <si>
    <t>ALWAYS WORK ON A COPY OF THIS SHEET</t>
  </si>
  <si>
    <r>
      <t>Disclaimer</t>
    </r>
    <r>
      <rPr>
        <sz val="8"/>
        <color indexed="10"/>
        <rFont val="Times New Roman"/>
        <family val="1"/>
      </rPr>
      <t>:</t>
    </r>
    <r>
      <rPr>
        <sz val="8"/>
        <color indexed="23"/>
        <rFont val="Times New Roman"/>
        <family val="0"/>
      </rPr>
      <t xml:space="preserve"> No responsibility is assumed or implied as a result of using this spreadsheet.</t>
    </r>
  </si>
  <si>
    <t>A gravity of say 1040 can also be denoted as 40 brewers degrees or 1.040.</t>
  </si>
  <si>
    <t>The F.G. is very hard to predict, an error of several degrees is not uncommon.</t>
  </si>
  <si>
    <t>This assumes that</t>
  </si>
  <si>
    <t xml:space="preserve">ml iso-hop extract in </t>
  </si>
  <si>
    <t xml:space="preserve">litres gives </t>
  </si>
  <si>
    <t>ABV</t>
  </si>
  <si>
    <t>&amp;</t>
  </si>
  <si>
    <t>PRIMING CIDERS &amp; SPARKLING WINES</t>
  </si>
  <si>
    <t>To be used for UNSWEETENED ciders, meads &amp; sparkling wines ONLY.</t>
  </si>
  <si>
    <t>1 tsp sugar =</t>
  </si>
  <si>
    <t>PRIMING SUGAR</t>
  </si>
  <si>
    <t>Sugar weight/vol.</t>
  </si>
  <si>
    <r>
      <t>wt. (</t>
    </r>
    <r>
      <rPr>
        <sz val="10"/>
        <color indexed="10"/>
        <rFont val="Times New Roman"/>
        <family val="1"/>
      </rPr>
      <t>lb, oz or g</t>
    </r>
    <r>
      <rPr>
        <sz val="10"/>
        <rFont val="Times New Roman"/>
        <family val="1"/>
      </rPr>
      <t>)</t>
    </r>
  </si>
  <si>
    <t>Proof/ABV converters</t>
  </si>
  <si>
    <t>ABW/ABV converters</t>
  </si>
  <si>
    <r>
      <t xml:space="preserve">Use </t>
    </r>
    <r>
      <rPr>
        <u val="single"/>
        <sz val="9"/>
        <color indexed="10"/>
        <rFont val="Times New Roman"/>
        <family val="0"/>
      </rPr>
      <t>only</t>
    </r>
    <r>
      <rPr>
        <sz val="9"/>
        <color indexed="10"/>
        <rFont val="Times New Roman"/>
        <family val="0"/>
      </rPr>
      <t xml:space="preserve"> when actual gravities differ from calc's. - which they often do!</t>
    </r>
  </si>
  <si>
    <t>carbs/serving (g)</t>
  </si>
  <si>
    <t>sugar/serving (g)</t>
  </si>
  <si>
    <r>
      <t>Serving size</t>
    </r>
    <r>
      <rPr>
        <sz val="10"/>
        <rFont val="Times New Roman"/>
        <family val="1"/>
      </rPr>
      <t xml:space="preserve"> (fl oz)</t>
    </r>
  </si>
  <si>
    <t>Serving size (ml)</t>
  </si>
  <si>
    <r>
      <t xml:space="preserve">(Use the above figures as a </t>
    </r>
    <r>
      <rPr>
        <b/>
        <u val="single"/>
        <sz val="10"/>
        <color indexed="10"/>
        <rFont val="Times New Roman"/>
        <family val="0"/>
      </rPr>
      <t>VERY APPROX. GUIDE</t>
    </r>
    <r>
      <rPr>
        <sz val="10"/>
        <color indexed="10"/>
        <rFont val="Times New Roman"/>
        <family val="0"/>
      </rPr>
      <t xml:space="preserve"> only)  </t>
    </r>
  </si>
  <si>
    <t>Technical Section.</t>
  </si>
  <si>
    <t>Ensure cell E171 is clear!</t>
  </si>
  <si>
    <t>(If not - check cell "E171")</t>
  </si>
  <si>
    <t>OR, for a bottle sized</t>
  </si>
  <si>
    <t>Unit</t>
  </si>
  <si>
    <t>Sugar wt./tsp</t>
  </si>
  <si>
    <t>Max. 30°C.</t>
  </si>
  <si>
    <t>NOTE:- I would recommend 4 volumes is the absolute maximum for wines &amp; use 1.7-2.6 volumes generally for ciders.</t>
  </si>
  <si>
    <t>O. G. (After priming)</t>
  </si>
  <si>
    <t>F. G. (After priming)</t>
  </si>
  <si>
    <t>ALCOHOL (After priming.)</t>
  </si>
  <si>
    <t xml:space="preserve"> OR</t>
  </si>
  <si>
    <t>◄  These figures should be "0"  ►</t>
  </si>
  <si>
    <t>SUGAR SOLUTIONS (Syrups)</t>
  </si>
  <si>
    <t>Sugar solutions</t>
  </si>
  <si>
    <t xml:space="preserve">      OR, for a gravity of 1300</t>
  </si>
  <si>
    <t>These tables can be used when making sugar solutions.</t>
  </si>
  <si>
    <t>Wt. Sugar</t>
  </si>
  <si>
    <t>Vol. water</t>
  </si>
  <si>
    <t>Final Vol.</t>
  </si>
  <si>
    <t>S. G.</t>
  </si>
  <si>
    <t>A gravity of about 1300 is a good practical guide.</t>
  </si>
  <si>
    <t>Figures are approximate &amp; are temperature dependant.</t>
  </si>
  <si>
    <t>FORTIFYING WINES</t>
  </si>
  <si>
    <t>Used in the "CALORIE/UNIT COUNTERS"</t>
  </si>
  <si>
    <t>Ethyl alcohol (20°C)</t>
  </si>
  <si>
    <t>Spirit % ABV</t>
  </si>
  <si>
    <t>SG (ave)</t>
  </si>
  <si>
    <t xml:space="preserve">Cals/g </t>
  </si>
  <si>
    <t xml:space="preserve">Carbs/g </t>
  </si>
  <si>
    <t>Wine % ABV</t>
  </si>
  <si>
    <t>Default settings</t>
  </si>
  <si>
    <t>Desired % ABV</t>
  </si>
  <si>
    <t>User settings</t>
  </si>
  <si>
    <t>Wine vol.</t>
  </si>
  <si>
    <t>Spirit vol. required</t>
  </si>
  <si>
    <t>Final fortified vol.</t>
  </si>
  <si>
    <t>Measured O.G.</t>
  </si>
  <si>
    <t>Measured F.G.</t>
  </si>
  <si>
    <t>Alcohol  % ABV</t>
  </si>
  <si>
    <t>Free for to use - Not for sale.</t>
  </si>
  <si>
    <t>Copyright Peter J. Laycock 28~10~'6</t>
  </si>
  <si>
    <r>
      <t xml:space="preserve">NOTE:- The data in </t>
    </r>
    <r>
      <rPr>
        <sz val="10.5"/>
        <color indexed="55"/>
        <rFont val="Times New Roman"/>
        <family val="1"/>
      </rPr>
      <t>gray</t>
    </r>
    <r>
      <rPr>
        <sz val="10.5"/>
        <rFont val="Times New Roman"/>
        <family val="1"/>
      </rPr>
      <t xml:space="preserve"> can be ignored.</t>
    </r>
  </si>
  <si>
    <r>
      <t>PECTIC ENZYME</t>
    </r>
    <r>
      <rPr>
        <sz val="10"/>
        <rFont val="Times New Roman"/>
        <family val="1"/>
      </rPr>
      <t xml:space="preserve"> </t>
    </r>
    <r>
      <rPr>
        <sz val="8"/>
        <color indexed="10"/>
        <rFont val="Times New Roman"/>
        <family val="1"/>
      </rPr>
      <t>(TO ADD - minimum)</t>
    </r>
  </si>
  <si>
    <r>
      <t>SWEETENING SUGAR</t>
    </r>
    <r>
      <rPr>
        <sz val="8"/>
        <color indexed="10"/>
        <rFont val="Times New Roman"/>
        <family val="1"/>
      </rPr>
      <t xml:space="preserve"> </t>
    </r>
    <r>
      <rPr>
        <sz val="10"/>
        <color indexed="10"/>
        <rFont val="Times New Roman"/>
        <family val="1"/>
      </rPr>
      <t>-</t>
    </r>
    <r>
      <rPr>
        <sz val="9"/>
        <color indexed="10"/>
        <rFont val="Times New Roman"/>
        <family val="1"/>
      </rPr>
      <t xml:space="preserve"> FOR STILL WINES ONLY, ADD SUGAR SOLN. AFTER STABILIZATION, </t>
    </r>
    <r>
      <rPr>
        <u val="single"/>
        <sz val="9"/>
        <color indexed="10"/>
        <rFont val="Times New Roman"/>
        <family val="1"/>
      </rPr>
      <t>DO NOT SWEETEN CIDERS WITH SUGARS</t>
    </r>
    <r>
      <rPr>
        <sz val="9"/>
        <color indexed="10"/>
        <rFont val="Times New Roman"/>
        <family val="1"/>
      </rPr>
      <t>.</t>
    </r>
  </si>
  <si>
    <r>
      <t xml:space="preserve">litres (Actual vol. </t>
    </r>
    <r>
      <rPr>
        <u val="single"/>
        <sz val="10.5"/>
        <rFont val="Times New Roman"/>
        <family val="1"/>
      </rPr>
      <t xml:space="preserve">used </t>
    </r>
    <r>
      <rPr>
        <sz val="10.5"/>
        <rFont val="Times New Roman"/>
        <family val="1"/>
      </rPr>
      <t>- allows for losses &amp; sweetening sugar when added to finished wine.)</t>
    </r>
  </si>
  <si>
    <r>
      <t>SOME TYPICAL WINE PARAMETERS</t>
    </r>
    <r>
      <rPr>
        <sz val="9"/>
        <color indexed="55"/>
        <rFont val="Times New Roman"/>
        <family val="1"/>
      </rPr>
      <t xml:space="preserve"> (If used, treat as a rough guide only, the figures below are VERY arbitrary.)</t>
    </r>
    <r>
      <rPr>
        <b/>
        <u val="single"/>
        <sz val="9"/>
        <color indexed="55"/>
        <rFont val="Times New Roman"/>
        <family val="1"/>
      </rPr>
      <t xml:space="preserve"> </t>
    </r>
  </si>
  <si>
    <r>
      <t>Carbonation (Volumes CO</t>
    </r>
    <r>
      <rPr>
        <sz val="7"/>
        <rFont val="Times New Roman"/>
        <family val="1"/>
      </rPr>
      <t>2</t>
    </r>
    <r>
      <rPr>
        <sz val="10.5"/>
        <rFont val="Times New Roman"/>
        <family val="1"/>
      </rPr>
      <t>)</t>
    </r>
  </si>
  <si>
    <t>Proof</t>
  </si>
  <si>
    <t>Total Weight</t>
  </si>
  <si>
    <t>Wt. oz</t>
  </si>
  <si>
    <t xml:space="preserve"> For a glass size of (fl oz)</t>
  </si>
  <si>
    <r>
      <t>WHITE</t>
    </r>
  </si>
  <si>
    <r>
      <t>RED</t>
    </r>
  </si>
  <si>
    <r>
      <t>WHITE</t>
    </r>
    <r>
      <rPr>
        <sz val="10"/>
        <rFont val="Times New Roman"/>
        <family val="1"/>
      </rPr>
      <t xml:space="preserve"> </t>
    </r>
  </si>
  <si>
    <r>
      <t>RED</t>
    </r>
  </si>
  <si>
    <t>HONEY</t>
  </si>
  <si>
    <t>(76% nom.)</t>
  </si>
  <si>
    <t>Beer Yeasts</t>
  </si>
  <si>
    <t>Yeast Name</t>
  </si>
  <si>
    <t>Manufacturer</t>
  </si>
  <si>
    <t>Yeast</t>
  </si>
  <si>
    <t>Flocculation</t>
  </si>
  <si>
    <t>Apparent Attenuation</t>
  </si>
  <si>
    <t>Max.</t>
  </si>
  <si>
    <t>Temperature</t>
  </si>
  <si>
    <t>State</t>
  </si>
  <si>
    <t xml:space="preserve"> Range °C </t>
  </si>
  <si>
    <t xml:space="preserve"> Range °F</t>
  </si>
  <si>
    <t xml:space="preserve">High </t>
  </si>
  <si>
    <t>(Approx.)</t>
  </si>
  <si>
    <t xml:space="preserve">10th Anniversary Blend WLP010 </t>
  </si>
  <si>
    <t xml:space="preserve">White Labs </t>
  </si>
  <si>
    <t>Liquid</t>
  </si>
  <si>
    <t xml:space="preserve">Medium </t>
  </si>
  <si>
    <t>5-10</t>
  </si>
  <si>
    <t xml:space="preserve">Abbey Ale (Westmalle) WLP530 </t>
  </si>
  <si>
    <t xml:space="preserve">Med/High </t>
  </si>
  <si>
    <t>10-15</t>
  </si>
  <si>
    <t>Abbey IV Ale Yeast (Rochefort) WLP540</t>
  </si>
  <si>
    <t>White Labs</t>
  </si>
  <si>
    <t xml:space="preserve">Alt Ale BRY 144 </t>
  </si>
  <si>
    <t xml:space="preserve">Siebel Inst. </t>
  </si>
  <si>
    <t>-</t>
  </si>
  <si>
    <t xml:space="preserve">American Hefeweizen Ale WLP320 </t>
  </si>
  <si>
    <t xml:space="preserve">Low </t>
  </si>
  <si>
    <t>Albion Ale Yeast WLP040</t>
  </si>
  <si>
    <t>8-12</t>
  </si>
  <si>
    <t xml:space="preserve">American Ale 1056 </t>
  </si>
  <si>
    <t xml:space="preserve">Wyeast </t>
  </si>
  <si>
    <t xml:space="preserve">Low/Med </t>
  </si>
  <si>
    <t xml:space="preserve">American Ale BRY 96 </t>
  </si>
  <si>
    <t xml:space="preserve">American Ale II 1272 </t>
  </si>
  <si>
    <t xml:space="preserve">American Ale Yeast Blend WLP060 </t>
  </si>
  <si>
    <t xml:space="preserve">American Lager 2035 </t>
  </si>
  <si>
    <t xml:space="preserve">American Lager BRY 118 </t>
  </si>
  <si>
    <t xml:space="preserve">Very High </t>
  </si>
  <si>
    <t xml:space="preserve">American Lager WLP840 </t>
  </si>
  <si>
    <t xml:space="preserve">American Wheat 1010 </t>
  </si>
  <si>
    <t>Antwerp Ale Yeast (De Koninck) WLP515</t>
  </si>
  <si>
    <t xml:space="preserve">Australian Ale WLP009 </t>
  </si>
  <si>
    <t>5-11</t>
  </si>
  <si>
    <t xml:space="preserve">Bastogne Belgian Ale Yeast (Orval) WLP510 </t>
  </si>
  <si>
    <t xml:space="preserve">Bavarian Lager 2206 </t>
  </si>
  <si>
    <t xml:space="preserve">Bavarian Weizen Ale WLP351 </t>
  </si>
  <si>
    <t xml:space="preserve">Bavarian Weizen BRY 235 </t>
  </si>
  <si>
    <t xml:space="preserve">Bavarian Wheat 3638 </t>
  </si>
  <si>
    <t xml:space="preserve">Bavarian Wheat Blend 3056 </t>
  </si>
  <si>
    <t xml:space="preserve">Bedford British Ale WLP006 </t>
  </si>
  <si>
    <t>Belgian Abbey (Chimay) 1214</t>
  </si>
  <si>
    <t>Med/Low</t>
  </si>
  <si>
    <t>Belgian Abbey II (Rochefort) 1762</t>
  </si>
  <si>
    <t>Liquid Temp.</t>
  </si>
  <si>
    <t>Belgian Abbey IV (Rochefort) WLP540</t>
  </si>
  <si>
    <t>Belgian Ale (Achouffe) WLP550</t>
  </si>
  <si>
    <t>Belgian Ardennes (Achouffe) 3522</t>
  </si>
  <si>
    <t xml:space="preserve">Belgian Golden Ale (Duvel) WLP570 </t>
  </si>
  <si>
    <t xml:space="preserve">Belgian Lambic Blend 3278 </t>
  </si>
  <si>
    <t>Variable</t>
  </si>
  <si>
    <t xml:space="preserve">Belgian Saison 3724 </t>
  </si>
  <si>
    <t xml:space="preserve">Belgian Saison I WLP565 </t>
  </si>
  <si>
    <t>Belgian Saison II WLP566</t>
  </si>
  <si>
    <t xml:space="preserve">Belgian Sour Mix WLP655 </t>
  </si>
  <si>
    <t xml:space="preserve">NA </t>
  </si>
  <si>
    <t xml:space="preserve">Belgian Strong Ale (Duvel) 1388 </t>
  </si>
  <si>
    <t>12-13</t>
  </si>
  <si>
    <t>Belgian Strong Ale Yeast WLP545</t>
  </si>
  <si>
    <t xml:space="preserve">Belgian Style Ale Yeast Blend WLP575 </t>
  </si>
  <si>
    <t xml:space="preserve">Belgian Bavarian Wheat 3638 </t>
  </si>
  <si>
    <t xml:space="preserve">Belgian Wheat 3942 </t>
  </si>
  <si>
    <t xml:space="preserve">Belgian Wit Ale WLP400 </t>
  </si>
  <si>
    <t xml:space="preserve">Belgian Wit II Ale WLP410 </t>
  </si>
  <si>
    <t xml:space="preserve">Belgian Witbier 3944 </t>
  </si>
  <si>
    <t xml:space="preserve">Berliner Weisse Blend WLP630 </t>
  </si>
  <si>
    <t>Biere de Garde 3725</t>
  </si>
  <si>
    <t xml:space="preserve">Bohemian Lager 2124 </t>
  </si>
  <si>
    <t xml:space="preserve">Brettanomyces Bruxellensis WLP650 </t>
  </si>
  <si>
    <t xml:space="preserve">Brettanomyces Claussenii WLP645 </t>
  </si>
  <si>
    <t>Brettanomyces Lambicus 5526</t>
  </si>
  <si>
    <t>V High</t>
  </si>
  <si>
    <t xml:space="preserve">Brettanomyces Lambicus WLP653 </t>
  </si>
  <si>
    <t xml:space="preserve">Brettanomyces. Bruxellensis 5112 </t>
  </si>
  <si>
    <t>A method of calculating the amount of spirit (usually Vodka) required to fortify a wine.</t>
  </si>
  <si>
    <t>Hallertau, Hersbruck, Tettnang, Spalt, Saaz.</t>
  </si>
  <si>
    <t xml:space="preserve">Brewferm Blanche </t>
  </si>
  <si>
    <t xml:space="preserve">Brewferm </t>
  </si>
  <si>
    <t>Dried</t>
  </si>
  <si>
    <t xml:space="preserve">Brewferm Lager </t>
  </si>
  <si>
    <t xml:space="preserve">British Ale 1098 </t>
  </si>
  <si>
    <t xml:space="preserve">British Ale II 1335 </t>
  </si>
  <si>
    <t xml:space="preserve">British Ale WLP005 </t>
  </si>
  <si>
    <t xml:space="preserve">British Cask Ale 1026 </t>
  </si>
  <si>
    <t xml:space="preserve">Budvar Lager 2000 </t>
  </si>
  <si>
    <t xml:space="preserve">Burton Ale WLP023 </t>
  </si>
  <si>
    <t xml:space="preserve">California Ale V WLP051 </t>
  </si>
  <si>
    <t xml:space="preserve">California Ale WLP001 </t>
  </si>
  <si>
    <t xml:space="preserve">California Lager 2112 </t>
  </si>
  <si>
    <t xml:space="preserve">Canadian/Belgian Style 3864 </t>
  </si>
  <si>
    <t xml:space="preserve">Coopers Homebrew Yeast </t>
  </si>
  <si>
    <t xml:space="preserve">Coopers </t>
  </si>
  <si>
    <t xml:space="preserve">Copenhagen Lager WLP850 </t>
  </si>
  <si>
    <t>Cream Ale Yeast Blend WLP080</t>
  </si>
  <si>
    <t xml:space="preserve">Czech Budejovice Lager WLP802 </t>
  </si>
  <si>
    <t xml:space="preserve">Czech Pils 2278 </t>
  </si>
  <si>
    <t xml:space="preserve">Danish Lager 2042 </t>
  </si>
  <si>
    <t xml:space="preserve">Dry English ale WLP007 </t>
  </si>
  <si>
    <t xml:space="preserve">Dusseldorf Alt WLP036 </t>
  </si>
  <si>
    <t xml:space="preserve">Dutch Castle Yeast 3822 </t>
  </si>
  <si>
    <t xml:space="preserve">East Coast Ale WLP008 </t>
  </si>
  <si>
    <t>East Midlends Ale Yeast WLP039</t>
  </si>
  <si>
    <t>Edinburgh Scottish Ale Yeast WLP028</t>
  </si>
  <si>
    <t xml:space="preserve">English Ale BRY 264 </t>
  </si>
  <si>
    <t xml:space="preserve">English Ale WLP002 </t>
  </si>
  <si>
    <t xml:space="preserve">V High </t>
  </si>
  <si>
    <t xml:space="preserve">English Special Bitter 1768 </t>
  </si>
  <si>
    <t xml:space="preserve">Essex Ale Yeast WLP022 </t>
  </si>
  <si>
    <t xml:space="preserve">European Ale WLP011 </t>
  </si>
  <si>
    <t xml:space="preserve">European Lager II 2247 </t>
  </si>
  <si>
    <t>Main Contents/Notes:-</t>
  </si>
  <si>
    <t>Beer Kit Calculators Etc</t>
  </si>
  <si>
    <t xml:space="preserve">UK Coin Weights </t>
  </si>
  <si>
    <t>Gravity Calculations (for beers)</t>
  </si>
  <si>
    <t xml:space="preserve">oz </t>
  </si>
  <si>
    <t>Colour Chart (for beers)</t>
  </si>
  <si>
    <t>General Converters - Vol., weights etc.</t>
  </si>
  <si>
    <t>Malt Extract Calculator</t>
  </si>
  <si>
    <t>Beer &amp; Wine Sugar Stages</t>
  </si>
  <si>
    <t>For use when sugars etc. are added at different stages or times.</t>
  </si>
  <si>
    <t>Initial gravity (stage 1)</t>
  </si>
  <si>
    <t>Effective O. G.</t>
  </si>
  <si>
    <t>4</t>
  </si>
  <si>
    <r>
      <t xml:space="preserve">When using this calculator, it is vital to take gravity readings before &amp; after the sugars, syrups &amp; malts etc. have been mixed in. </t>
    </r>
    <r>
      <rPr>
        <b/>
        <u val="single"/>
        <sz val="10"/>
        <rFont val="Times New Roman"/>
        <family val="1"/>
      </rPr>
      <t>NOTE:-</t>
    </r>
    <r>
      <rPr>
        <sz val="10"/>
        <rFont val="Times New Roman"/>
        <family val="1"/>
      </rPr>
      <t xml:space="preserve"> This calculator is only as accurate as the gravity readings. Leave "non-entries" blank.</t>
    </r>
  </si>
  <si>
    <t>Measured gravity (stage 2)</t>
  </si>
  <si>
    <t>Amended gravity</t>
  </si>
  <si>
    <t>End gravity</t>
  </si>
  <si>
    <t>ACID ADDED (Tartaric/Citric)</t>
  </si>
  <si>
    <t>ESTIMATED INITIAL VOLUME</t>
  </si>
  <si>
    <t>Added g</t>
  </si>
  <si>
    <t xml:space="preserve">Please Note: The above columns are also edible. </t>
  </si>
  <si>
    <r>
      <t>Disclaimer</t>
    </r>
    <r>
      <rPr>
        <sz val="9"/>
        <color indexed="23"/>
        <rFont val="Times New Roman"/>
        <family val="0"/>
      </rPr>
      <t>:</t>
    </r>
    <r>
      <rPr>
        <sz val="9"/>
        <rFont val="Times New Roman"/>
        <family val="0"/>
      </rPr>
      <t xml:space="preserve"> No responsibility is assumed or implied as a result of using this spreadsheet.</t>
    </r>
  </si>
  <si>
    <t>Measured gravity (stage 3)</t>
  </si>
  <si>
    <t>% Alcohol (exc. any primer)</t>
  </si>
  <si>
    <t>Final measured gravity</t>
  </si>
  <si>
    <t>The Inital Vol (cell C12) uses MERTIC measures to allow "easy" conversion between IMPERIAL &amp; US gallons.</t>
  </si>
  <si>
    <t xml:space="preserve">Weights (cells C18 &amp; D18 etc.) can be entered as whole "lbs" &amp; "oz" or just decimal "lbs" (the "oz" cell is left blank)  i.e. </t>
  </si>
  <si>
    <r>
      <t xml:space="preserve">Hops boiled with all the malts &amp; with </t>
    </r>
    <r>
      <rPr>
        <b/>
        <sz val="8"/>
        <color indexed="20"/>
        <rFont val="Times New Roman"/>
        <family val="1"/>
      </rPr>
      <t>(1a)</t>
    </r>
    <r>
      <rPr>
        <sz val="8"/>
        <rFont val="Times New Roman"/>
        <family val="1"/>
      </rPr>
      <t xml:space="preserve">/without sugars </t>
    </r>
    <r>
      <rPr>
        <b/>
        <sz val="8"/>
        <color indexed="60"/>
        <rFont val="Times New Roman"/>
        <family val="1"/>
      </rPr>
      <t>(1b)</t>
    </r>
    <r>
      <rPr>
        <sz val="8"/>
        <rFont val="Times New Roman"/>
        <family val="1"/>
      </rPr>
      <t>.</t>
    </r>
  </si>
  <si>
    <r>
      <t>The usual advice for barrelling beers is to add about 50-85g  of sugar (for 23 litres) to the  barrel.
Once the beer is carbonated &amp; matured, keep between 5-25 or so psi (depending on the style of the beer), using a CO2 cylinder, charging when necessary, or the regulate to maintain at constant pressure.
Here is a little calculator for converting "Volumes CO</t>
    </r>
    <r>
      <rPr>
        <sz val="8"/>
        <rFont val="Times New Roman"/>
        <family val="1"/>
      </rPr>
      <t>2</t>
    </r>
    <r>
      <rPr>
        <sz val="10"/>
        <rFont val="Times New Roman"/>
        <family val="0"/>
      </rPr>
      <t>" into psi/atmospheres/bars. Note that the calculations are of very dubious accurate but should give the pressure within 2 or 3 psi at "normal" temperatures &amp; pressures for beers.
NOTE:- When bottling, the carbonation figures apply to GLASS bottles only. PET bottles expand slightly.</t>
    </r>
  </si>
  <si>
    <t>°C (Max. 30)</t>
  </si>
  <si>
    <t>Calorie/Carbohydrate/Unit Data.</t>
  </si>
  <si>
    <t>Technical Section</t>
  </si>
  <si>
    <t>Change the default settings etc.</t>
  </si>
  <si>
    <t>Beer Calculations</t>
  </si>
  <si>
    <t>This must be used in conjuction with the "Beer Data Sheet"</t>
  </si>
  <si>
    <t>Priming Calc's. For Beers Etc.</t>
  </si>
  <si>
    <t>More typical beer styles carbonation levels.</t>
  </si>
  <si>
    <t>Metric, Imperial &amp; US units are given.</t>
  </si>
  <si>
    <t>Also suitable for priming sparkling wines &amp; ciders.</t>
  </si>
  <si>
    <t xml:space="preserve">Volume CO2 to PSI or Atm. or Bar </t>
  </si>
  <si>
    <t>BJCP Guide</t>
  </si>
  <si>
    <t>Pete's YoBrew Beer &amp; Wine Calc's. - Imperial &amp; US measures.</t>
  </si>
  <si>
    <t>Beer Styles.</t>
  </si>
  <si>
    <t>Disclaimer:</t>
  </si>
  <si>
    <t>No responsibility is assumed or implied as a result of using this spreadsheet.</t>
  </si>
  <si>
    <t>Isomerised hop extract  (ml)</t>
  </si>
  <si>
    <r>
      <t>NOTE:-</t>
    </r>
    <r>
      <rPr>
        <sz val="12"/>
        <rFont val="Times New Roman"/>
        <family val="1"/>
      </rPr>
      <t xml:space="preserve"> These calculators use pre-set data which may be changed.</t>
    </r>
  </si>
  <si>
    <t>BJCP Beer Styles</t>
  </si>
  <si>
    <t>These columns are not part of the BCJP info.</t>
  </si>
  <si>
    <t>ABV%</t>
  </si>
  <si>
    <t>EBU/ IBU</t>
  </si>
  <si>
    <t>SRM</t>
  </si>
  <si>
    <t>Some typical hops (WIP)</t>
  </si>
  <si>
    <t>Min.</t>
  </si>
  <si>
    <t>1.  AMERICAN LAGER</t>
  </si>
  <si>
    <t>A.  Lite American Lager</t>
  </si>
  <si>
    <t xml:space="preserve">1030-40 </t>
  </si>
  <si>
    <t xml:space="preserve">998-1008 </t>
  </si>
  <si>
    <t xml:space="preserve">3.2-4.2 </t>
  </si>
  <si>
    <t xml:space="preserve">8-12 </t>
  </si>
  <si>
    <t>2-3</t>
  </si>
  <si>
    <t>Hallertauer, Perle</t>
  </si>
  <si>
    <t>B.  Standard American Lager</t>
  </si>
  <si>
    <t xml:space="preserve">1040-50 </t>
  </si>
  <si>
    <t xml:space="preserve">1004-10 </t>
  </si>
  <si>
    <t xml:space="preserve">4.2-5.1 </t>
  </si>
  <si>
    <t xml:space="preserve">8-15 </t>
  </si>
  <si>
    <t>2-4</t>
  </si>
  <si>
    <t>Hallertauer </t>
  </si>
  <si>
    <t>C.  Premium American Lager</t>
  </si>
  <si>
    <t xml:space="preserve">1046-56 </t>
  </si>
  <si>
    <t xml:space="preserve">1008-12 </t>
  </si>
  <si>
    <t xml:space="preserve">4.7-6.0 </t>
  </si>
  <si>
    <t xml:space="preserve">15-25 </t>
  </si>
  <si>
    <t>2-6</t>
  </si>
  <si>
    <t>D.  Munich Helles</t>
  </si>
  <si>
    <t xml:space="preserve">1045-51 </t>
  </si>
  <si>
    <t xml:space="preserve">4.7-5.4 </t>
  </si>
  <si>
    <t xml:space="preserve">16-22 </t>
  </si>
  <si>
    <t>3-5</t>
  </si>
  <si>
    <t>Hallertauer, Tettnang, Herschbrucker</t>
  </si>
  <si>
    <t>E.  Dortmunder Export</t>
  </si>
  <si>
    <t xml:space="preserve">1048-56 </t>
  </si>
  <si>
    <t xml:space="preserve">1010-15 </t>
  </si>
  <si>
    <t xml:space="preserve">4.8-6.0 </t>
  </si>
  <si>
    <t xml:space="preserve">23-30 </t>
  </si>
  <si>
    <t>4-6</t>
  </si>
  <si>
    <t>2.  PILSNER</t>
  </si>
  <si>
    <t>A.  German Pilsner (Pils)</t>
  </si>
  <si>
    <t xml:space="preserve">1044-50 </t>
  </si>
  <si>
    <t xml:space="preserve">1008-13 </t>
  </si>
  <si>
    <t xml:space="preserve">4.4-5.2 </t>
  </si>
  <si>
    <t xml:space="preserve">25-45 </t>
  </si>
  <si>
    <t>2-5</t>
  </si>
  <si>
    <t>Hallertauer, Perle, Spalt</t>
  </si>
  <si>
    <t>B.  Bohemian Pilsener</t>
  </si>
  <si>
    <t xml:space="preserve">1044-56 </t>
  </si>
  <si>
    <t xml:space="preserve">1013-17 </t>
  </si>
  <si>
    <t xml:space="preserve">4.2-5.4 </t>
  </si>
  <si>
    <t xml:space="preserve">35-45 </t>
  </si>
  <si>
    <t>3.5-6</t>
  </si>
  <si>
    <t>C.  Classic American Pilsner</t>
  </si>
  <si>
    <t xml:space="preserve">1044-60 </t>
  </si>
  <si>
    <t xml:space="preserve">4.5-6.0 </t>
  </si>
  <si>
    <t xml:space="preserve">25-40 </t>
  </si>
  <si>
    <t>3-6</t>
  </si>
  <si>
    <t>Cluster, Ultra, Liberty, Crystal</t>
  </si>
  <si>
    <t>3.  EUROPEAN AMBER LAGER</t>
  </si>
  <si>
    <t>A.  Vienna Lager</t>
  </si>
  <si>
    <t xml:space="preserve">1046-52 </t>
  </si>
  <si>
    <t xml:space="preserve">1010-14 </t>
  </si>
  <si>
    <t xml:space="preserve">4.5-5.7 </t>
  </si>
  <si>
    <t xml:space="preserve">18-30 </t>
  </si>
  <si>
    <t>10-16</t>
  </si>
  <si>
    <t>B.  Oktoberfest/Marzen</t>
  </si>
  <si>
    <t xml:space="preserve">1050-56 </t>
  </si>
  <si>
    <t xml:space="preserve">102-16 </t>
  </si>
  <si>
    <t xml:space="preserve">4.8-5.7 </t>
  </si>
  <si>
    <t xml:space="preserve">20-28 </t>
  </si>
  <si>
    <t>7-14</t>
  </si>
  <si>
    <t>Saaz, Perle, Hersbrucker,</t>
  </si>
  <si>
    <t>4.  DARK LAGER</t>
  </si>
  <si>
    <t>A.  Dark American Lager</t>
  </si>
  <si>
    <t xml:space="preserve">4.2-6.0 </t>
  </si>
  <si>
    <t xml:space="preserve">8-20 </t>
  </si>
  <si>
    <t>14-22</t>
  </si>
  <si>
    <t>B.  Munich Dunkel</t>
  </si>
  <si>
    <t xml:space="preserve">1010-16 </t>
  </si>
  <si>
    <t xml:space="preserve">4.5-5.6 </t>
  </si>
  <si>
    <t xml:space="preserve">18-28 </t>
  </si>
  <si>
    <t>14-28</t>
  </si>
  <si>
    <r>
      <t>fl oz.</t>
    </r>
    <r>
      <rPr>
        <sz val="9"/>
        <color indexed="10"/>
        <rFont val="Times New Roman"/>
        <family val="1"/>
      </rPr>
      <t xml:space="preserve"> (28.993 default)</t>
    </r>
  </si>
  <si>
    <t>litres allowing for excessive "boiling up"</t>
  </si>
  <si>
    <t>Approx. ingredient vol. (exc. "topping-up" water) =</t>
  </si>
  <si>
    <t>Spalter</t>
  </si>
  <si>
    <t>C.  Schwarzbier (Black Beer)</t>
  </si>
  <si>
    <t xml:space="preserve">4.4-5.4 </t>
  </si>
  <si>
    <t xml:space="preserve">22-32 </t>
  </si>
  <si>
    <t>17-30+</t>
  </si>
  <si>
    <t>59+</t>
  </si>
  <si>
    <t>5.  BOCK</t>
  </si>
  <si>
    <t>A.  Maibock/Helles Bock</t>
  </si>
  <si>
    <t xml:space="preserve">1064-72 </t>
  </si>
  <si>
    <t xml:space="preserve">1011-18 </t>
  </si>
  <si>
    <t xml:space="preserve">6.3-7.4 </t>
  </si>
  <si>
    <t xml:space="preserve">23-35+ </t>
  </si>
  <si>
    <t>6-11</t>
  </si>
  <si>
    <t>B.  Traditional Bock</t>
  </si>
  <si>
    <t xml:space="preserve">1013-19 </t>
  </si>
  <si>
    <t xml:space="preserve">6.3-7.2 </t>
  </si>
  <si>
    <t xml:space="preserve">20-27 </t>
  </si>
  <si>
    <t>C.  Doppelbock</t>
  </si>
  <si>
    <t xml:space="preserve">1072-96+ </t>
  </si>
  <si>
    <t xml:space="preserve">1016-24+ </t>
  </si>
  <si>
    <t xml:space="preserve">7.0-10+ </t>
  </si>
  <si>
    <t xml:space="preserve">16-26+ </t>
  </si>
  <si>
    <t>6-25</t>
  </si>
  <si>
    <t>D.  Eisbock</t>
  </si>
  <si>
    <t xml:space="preserve">1078-120+ </t>
  </si>
  <si>
    <t xml:space="preserve">1020-35+ </t>
  </si>
  <si>
    <t xml:space="preserve">9.0-14.0+ </t>
  </si>
  <si>
    <t xml:space="preserve">25-35+ </t>
  </si>
  <si>
    <t>18-30+</t>
  </si>
  <si>
    <t>6.  LIGHT HYBRID BEER</t>
  </si>
  <si>
    <t>A.  Cream Ale</t>
  </si>
  <si>
    <t xml:space="preserve">1042-55 </t>
  </si>
  <si>
    <t xml:space="preserve">1006-12 </t>
  </si>
  <si>
    <t xml:space="preserve">4.2-5.6 </t>
  </si>
  <si>
    <t xml:space="preserve">15-20+ </t>
  </si>
  <si>
    <t>2.5-5</t>
  </si>
  <si>
    <t>B.  Blonde Ale</t>
  </si>
  <si>
    <t xml:space="preserve">1038-54 </t>
  </si>
  <si>
    <t xml:space="preserve">3.8-5.5 </t>
  </si>
  <si>
    <t xml:space="preserve">15-28 </t>
  </si>
  <si>
    <t>C.  Kolsch</t>
  </si>
  <si>
    <t xml:space="preserve">1007-11 </t>
  </si>
  <si>
    <t xml:space="preserve">20-30 </t>
  </si>
  <si>
    <t>3.5-5</t>
  </si>
  <si>
    <t>Hallertau, Tettnang, Spalt, Hersbrucker</t>
  </si>
  <si>
    <t>D.  American Wheat or Rye</t>
  </si>
  <si>
    <t xml:space="preserve">1040-55 </t>
  </si>
  <si>
    <t xml:space="preserve">4.0-5.5 </t>
  </si>
  <si>
    <t xml:space="preserve">15-30 </t>
  </si>
  <si>
    <t>7.  AMBER HYBRID BEER</t>
  </si>
  <si>
    <t>A.  Northern German Altbier</t>
  </si>
  <si>
    <t xml:space="preserve">1046-54 </t>
  </si>
  <si>
    <t xml:space="preserve">4.5-5.2 </t>
  </si>
  <si>
    <t>13-19</t>
  </si>
  <si>
    <t>B.  California Common Beer</t>
  </si>
  <si>
    <t xml:space="preserve">1048-54 </t>
  </si>
  <si>
    <t xml:space="preserve">1011-14 </t>
  </si>
  <si>
    <t xml:space="preserve">4.5-5.5 </t>
  </si>
  <si>
    <t xml:space="preserve">30-45 </t>
  </si>
  <si>
    <t>10-14</t>
  </si>
  <si>
    <t>C.  Dusseldorf Altbier</t>
  </si>
  <si>
    <t xml:space="preserve">35-50 </t>
  </si>
  <si>
    <t>13-17</t>
  </si>
  <si>
    <t>Spalt</t>
  </si>
  <si>
    <t>8.  ENGLISH PALE ALE</t>
  </si>
  <si>
    <t>A.  Standard/Ordinary Bitter</t>
  </si>
  <si>
    <t xml:space="preserve">1032-40 </t>
  </si>
  <si>
    <t xml:space="preserve">3.2-3.8 </t>
  </si>
  <si>
    <t xml:space="preserve">25-35 </t>
  </si>
  <si>
    <t>4-14</t>
  </si>
  <si>
    <r>
      <t>*</t>
    </r>
    <r>
      <rPr>
        <sz val="9"/>
        <rFont val="Times New Roman"/>
        <family val="0"/>
      </rPr>
      <t>150g banana flesh is approx. 1 ripe banana 180mm long, skin 50g, by MY measurement, some bananas</t>
    </r>
    <r>
      <rPr>
        <i/>
        <sz val="9"/>
        <rFont val="Times New Roman"/>
        <family val="1"/>
      </rPr>
      <t xml:space="preserve"> may </t>
    </r>
    <r>
      <rPr>
        <sz val="9"/>
        <rFont val="Times New Roman"/>
        <family val="0"/>
      </rPr>
      <t>differ.</t>
    </r>
  </si>
  <si>
    <t>FLESH*</t>
  </si>
  <si>
    <t xml:space="preserve">Goldings, Fuggles, Target, Northdown </t>
  </si>
  <si>
    <t>B.  Special/Best/Premium Bitter</t>
  </si>
  <si>
    <t xml:space="preserve">1040-48 </t>
  </si>
  <si>
    <t xml:space="preserve">3.8-4.6 </t>
  </si>
  <si>
    <t>5-16</t>
  </si>
  <si>
    <t>C.  Extra Special/Strong Bitter</t>
  </si>
  <si>
    <t xml:space="preserve">1048-60+ </t>
  </si>
  <si>
    <t xml:space="preserve">4.6-6.2 </t>
  </si>
  <si>
    <t xml:space="preserve">30-50+ </t>
  </si>
  <si>
    <t>6-18</t>
  </si>
  <si>
    <t>9.  SCOTTISH AND IRISH ALE</t>
  </si>
  <si>
    <t>A.  Scottish Light 60/-</t>
  </si>
  <si>
    <t xml:space="preserve">1030-35 </t>
  </si>
  <si>
    <t xml:space="preserve">1010-13 </t>
  </si>
  <si>
    <t xml:space="preserve">2.5-3.2 </t>
  </si>
  <si>
    <t xml:space="preserve">10-20 </t>
  </si>
  <si>
    <t>9-17</t>
  </si>
  <si>
    <t>B.  Scottish Heavy 70/-</t>
  </si>
  <si>
    <t xml:space="preserve">1035-40 </t>
  </si>
  <si>
    <t xml:space="preserve">3.2-3.9 </t>
  </si>
  <si>
    <t xml:space="preserve">10-25 </t>
  </si>
  <si>
    <t>C.  Scottish Export 80/-</t>
  </si>
  <si>
    <t xml:space="preserve">1040-54 </t>
  </si>
  <si>
    <t xml:space="preserve">3.9-5.0 </t>
  </si>
  <si>
    <t>D.  Irish Red Ale</t>
  </si>
  <si>
    <t xml:space="preserve">4.0-6.0 </t>
  </si>
  <si>
    <t xml:space="preserve">17-28 </t>
  </si>
  <si>
    <t>9-18</t>
  </si>
  <si>
    <t>E.  Strong Scotch Ale</t>
  </si>
  <si>
    <t xml:space="preserve">1070-130 </t>
  </si>
  <si>
    <t xml:space="preserve">1018-30+ </t>
  </si>
  <si>
    <t xml:space="preserve">6.5-10 </t>
  </si>
  <si>
    <t xml:space="preserve">17-35 </t>
  </si>
  <si>
    <t>14-25</t>
  </si>
  <si>
    <t>10.  AMERICAN ALE</t>
  </si>
  <si>
    <t>A.  American Pale Ale</t>
  </si>
  <si>
    <t xml:space="preserve">1045-60 </t>
  </si>
  <si>
    <t xml:space="preserve">30-45+ </t>
  </si>
  <si>
    <t>5-14</t>
  </si>
  <si>
    <t xml:space="preserve">Cascade, Chinook, Mount Hood, Centennial </t>
  </si>
  <si>
    <t>B.  American Amber Ale</t>
  </si>
  <si>
    <t xml:space="preserve">25-40+ </t>
  </si>
  <si>
    <t>10-17</t>
  </si>
  <si>
    <t>C.  American Brown Ale</t>
  </si>
  <si>
    <t xml:space="preserve">4.3-6.2 </t>
  </si>
  <si>
    <t xml:space="preserve">20-40+ </t>
  </si>
  <si>
    <t>18-35</t>
  </si>
  <si>
    <t>11.  ENGLISH BROWN ALE</t>
  </si>
  <si>
    <t>A.  Mild</t>
  </si>
  <si>
    <t xml:space="preserve">1030-38 </t>
  </si>
  <si>
    <t xml:space="preserve">2.8-4.5 </t>
  </si>
  <si>
    <t>10-25</t>
  </si>
  <si>
    <t>12-25</t>
  </si>
  <si>
    <t>B.  Southern English Brown</t>
  </si>
  <si>
    <t xml:space="preserve">1035-42 </t>
  </si>
  <si>
    <t>2.8-4.2</t>
  </si>
  <si>
    <t>12-20</t>
  </si>
  <si>
    <t>19-35</t>
  </si>
  <si>
    <t>C.  Northern English Brown</t>
  </si>
  <si>
    <t xml:space="preserve">1040-52 </t>
  </si>
  <si>
    <t>20-30</t>
  </si>
  <si>
    <t>12-22</t>
  </si>
  <si>
    <t>12.  PORTER</t>
  </si>
  <si>
    <t>A.   Brown Porter</t>
  </si>
  <si>
    <t xml:space="preserve">1008-14 </t>
  </si>
  <si>
    <t xml:space="preserve">8-12+ </t>
  </si>
  <si>
    <t xml:space="preserve">18-35 </t>
  </si>
  <si>
    <t>B.   Robust Porter</t>
  </si>
  <si>
    <t xml:space="preserve">1048-65 </t>
  </si>
  <si>
    <t xml:space="preserve">1012-16 </t>
  </si>
  <si>
    <t xml:space="preserve">25-50+ </t>
  </si>
  <si>
    <t>22-35+</t>
  </si>
  <si>
    <t>C.   Baltic Porter</t>
  </si>
  <si>
    <t xml:space="preserve">1060-90 </t>
  </si>
  <si>
    <t xml:space="preserve">1016-24 </t>
  </si>
  <si>
    <t xml:space="preserve">5.5-9.5 </t>
  </si>
  <si>
    <t xml:space="preserve">20-40 </t>
  </si>
  <si>
    <t>17-30</t>
  </si>
  <si>
    <t>13.  STOUT</t>
  </si>
  <si>
    <t>A.  Dry Stout</t>
  </si>
  <si>
    <t xml:space="preserve">1036-50 </t>
  </si>
  <si>
    <t xml:space="preserve">4.0-5.0 </t>
  </si>
  <si>
    <t>25-40+</t>
  </si>
  <si>
    <t>B.  Sweet Stout</t>
  </si>
  <si>
    <t xml:space="preserve">1042-56 </t>
  </si>
  <si>
    <t xml:space="preserve">1010-23 </t>
  </si>
  <si>
    <t>30-40+</t>
  </si>
  <si>
    <t>C.  Oatmeal Stout</t>
  </si>
  <si>
    <t xml:space="preserve">1010-18 </t>
  </si>
  <si>
    <t xml:space="preserve">Admiral </t>
  </si>
  <si>
    <t>Cacade</t>
  </si>
  <si>
    <t>First Gold</t>
  </si>
  <si>
    <r>
      <t>Hallertauer (</t>
    </r>
    <r>
      <rPr>
        <sz val="10"/>
        <color indexed="10"/>
        <rFont val="Times New Roman"/>
        <family val="0"/>
      </rPr>
      <t>"German"</t>
    </r>
    <r>
      <rPr>
        <sz val="10"/>
        <color indexed="8"/>
        <rFont val="Times New Roman"/>
        <family val="0"/>
      </rPr>
      <t>)</t>
    </r>
  </si>
  <si>
    <r>
      <t>Hallertauer (</t>
    </r>
    <r>
      <rPr>
        <sz val="10"/>
        <color indexed="10"/>
        <rFont val="Times New Roman"/>
        <family val="0"/>
      </rPr>
      <t>"Pacific"</t>
    </r>
    <r>
      <rPr>
        <sz val="10"/>
        <color indexed="8"/>
        <rFont val="Times New Roman"/>
        <family val="0"/>
      </rPr>
      <t>)</t>
    </r>
  </si>
  <si>
    <t>Magnum</t>
  </si>
  <si>
    <t>Perle</t>
  </si>
  <si>
    <t>Spalter Select</t>
  </si>
  <si>
    <t>Other (4)</t>
  </si>
  <si>
    <t>% to be Converted</t>
  </si>
  <si>
    <t>% Alcohol By Weight</t>
  </si>
  <si>
    <t>% ABV at 60°F</t>
  </si>
  <si>
    <t>Wet/dry malt extract weight converters</t>
  </si>
  <si>
    <t xml:space="preserve">UK &amp; US volume converters are given here.   </t>
  </si>
  <si>
    <t xml:space="preserve">4.2-5.9 </t>
  </si>
  <si>
    <t>22-40+</t>
  </si>
  <si>
    <t>D.  Foreign Extra Stout</t>
  </si>
  <si>
    <t xml:space="preserve">1056-75 </t>
  </si>
  <si>
    <t xml:space="preserve">5.5-8.0 </t>
  </si>
  <si>
    <t xml:space="preserve">30-70 </t>
  </si>
  <si>
    <t>E.  American Stout</t>
  </si>
  <si>
    <t xml:space="preserve">1050-75 </t>
  </si>
  <si>
    <t xml:space="preserve">1010-22 </t>
  </si>
  <si>
    <t xml:space="preserve">5.0-7.0 </t>
  </si>
  <si>
    <t xml:space="preserve">35-75 </t>
  </si>
  <si>
    <t>F.  Russian Imperial Stout</t>
  </si>
  <si>
    <t xml:space="preserve">1075-95+ </t>
  </si>
  <si>
    <t xml:space="preserve">8.0-12.0+ </t>
  </si>
  <si>
    <t xml:space="preserve">50-90+ </t>
  </si>
  <si>
    <t>14.  INDIA PALE ALE</t>
  </si>
  <si>
    <t>A.  English IPA</t>
  </si>
  <si>
    <t xml:space="preserve">5.0-7.5 </t>
  </si>
  <si>
    <t xml:space="preserve">40-60 </t>
  </si>
  <si>
    <t>8-14</t>
  </si>
  <si>
    <t>EKG, Fuggles</t>
  </si>
  <si>
    <t>B.  American IPA</t>
  </si>
  <si>
    <t xml:space="preserve">5.5-7.5 </t>
  </si>
  <si>
    <t xml:space="preserve">40-60+ </t>
  </si>
  <si>
    <t>6-15</t>
  </si>
  <si>
    <t>C.  Imperial IPA</t>
  </si>
  <si>
    <t xml:space="preserve">1075-90+ </t>
  </si>
  <si>
    <t xml:space="preserve">1012-20 </t>
  </si>
  <si>
    <t xml:space="preserve">7.5-10+ </t>
  </si>
  <si>
    <t xml:space="preserve">60-100+ </t>
  </si>
  <si>
    <t>8-15</t>
  </si>
  <si>
    <t>15. GERMAN WHEAT AND RYE BEER</t>
  </si>
  <si>
    <t>A.  Weizen/Weissbier</t>
  </si>
  <si>
    <t xml:space="preserve">1044-52 </t>
  </si>
  <si>
    <t xml:space="preserve">4.3-5.6 </t>
  </si>
  <si>
    <t>2-8</t>
  </si>
  <si>
    <t>Hallertau</t>
  </si>
  <si>
    <t>B.  Dunkelweizen</t>
  </si>
  <si>
    <t xml:space="preserve">10-18 </t>
  </si>
  <si>
    <t>14-23</t>
  </si>
  <si>
    <t>C.  Weizenbock</t>
  </si>
  <si>
    <t xml:space="preserve">1064-80+ </t>
  </si>
  <si>
    <t xml:space="preserve">1015-22 </t>
  </si>
  <si>
    <t xml:space="preserve">6.5-8.0+ </t>
  </si>
  <si>
    <t>D.  Roggenbier (German Rye)</t>
  </si>
  <si>
    <t>14-19</t>
  </si>
  <si>
    <t>Tettnang, Saaz</t>
  </si>
  <si>
    <t>16.  BELGIAN AND FRENCH ALE</t>
  </si>
  <si>
    <t>COLOUR is measured in EBCs (European Brewing Convention) by a light (430nm - a shade of indigo) passing through a 50mm “glass”.</t>
  </si>
  <si>
    <t>A.  Witbier</t>
  </si>
  <si>
    <t>Hallertau, Tettnang</t>
  </si>
  <si>
    <t>B.  Belgian Pale Ale</t>
  </si>
  <si>
    <t xml:space="preserve">4.8-5.5 </t>
  </si>
  <si>
    <t>Saaz, Styrian Goldings, East Kent Goldings, Fuggles</t>
  </si>
  <si>
    <t>C.  Saison</t>
  </si>
  <si>
    <t xml:space="preserve">1048-80 </t>
  </si>
  <si>
    <t xml:space="preserve">5.0-8.5 </t>
  </si>
  <si>
    <t>5-12</t>
  </si>
  <si>
    <t>Styrians, EKG, Saaz</t>
  </si>
  <si>
    <t>D.  Biere de Garde</t>
  </si>
  <si>
    <t xml:space="preserve">1060-80 </t>
  </si>
  <si>
    <t xml:space="preserve">1012-18 </t>
  </si>
  <si>
    <t xml:space="preserve">5.0-8.0 </t>
  </si>
  <si>
    <t>6-19</t>
  </si>
  <si>
    <t>Saaz, N Brewer, Fugg, Brewers Gold, Tettnang</t>
  </si>
  <si>
    <t>E.  Belgian Specialty Ale</t>
  </si>
  <si>
    <t>Data varies depending upon brewer</t>
  </si>
  <si>
    <t>17.  SOUR ALE</t>
  </si>
  <si>
    <t>A.  Berliner Weisse</t>
  </si>
  <si>
    <t xml:space="preserve">1028-32 </t>
  </si>
  <si>
    <t xml:space="preserve">1004-6 </t>
  </si>
  <si>
    <t xml:space="preserve">2.8-3.6 </t>
  </si>
  <si>
    <t xml:space="preserve">3-8 </t>
  </si>
  <si>
    <t>B.  Flanders Red Ale</t>
  </si>
  <si>
    <t xml:space="preserve">1008-16 </t>
  </si>
  <si>
    <t xml:space="preserve">5.0-5.5 </t>
  </si>
  <si>
    <t xml:space="preserve">C.  Flanders Brown Ale/Oud Bruin  </t>
  </si>
  <si>
    <t xml:space="preserve">1043-77 </t>
  </si>
  <si>
    <t xml:space="preserve">4.0-8.0 </t>
  </si>
  <si>
    <t>15-20</t>
  </si>
  <si>
    <t>D.  Straight (Unblended) Lambic</t>
  </si>
  <si>
    <t xml:space="preserve">1000-10 </t>
  </si>
  <si>
    <t xml:space="preserve">5.0-6.5 </t>
  </si>
  <si>
    <t xml:space="preserve">up to 10 </t>
  </si>
  <si>
    <t>3-7</t>
  </si>
  <si>
    <t>E.  Gueuze</t>
  </si>
  <si>
    <t xml:space="preserve">1040-60 </t>
  </si>
  <si>
    <t xml:space="preserve">SUMMARY FOR </t>
  </si>
  <si>
    <t>UK &amp; US volume converters are given below.</t>
  </si>
  <si>
    <t xml:space="preserve">1000-6 </t>
  </si>
  <si>
    <t>Peter's Wine Calculator</t>
  </si>
  <si>
    <t>F.  Fruit Lambic</t>
  </si>
  <si>
    <t>18.  BELGIAN STRONG ALE</t>
  </si>
  <si>
    <t>A.  Belgian Blonde Ale</t>
  </si>
  <si>
    <t xml:space="preserve">1062-75 </t>
  </si>
  <si>
    <t xml:space="preserve">6.0-7.5 </t>
  </si>
  <si>
    <t>Styrian Goldings, EKG</t>
  </si>
  <si>
    <t>B.  Belgian Dubbel</t>
  </si>
  <si>
    <t>C.  Belgian Tripel</t>
  </si>
  <si>
    <t xml:space="preserve">1075-85 </t>
  </si>
  <si>
    <t xml:space="preserve">7.5-9.0 </t>
  </si>
  <si>
    <t xml:space="preserve">25-38 </t>
  </si>
  <si>
    <t>4.5-6</t>
  </si>
  <si>
    <t>D.  Belgian Golden Strong Ale</t>
  </si>
  <si>
    <t xml:space="preserve">1070-95 </t>
  </si>
  <si>
    <t xml:space="preserve">7.5-10 </t>
  </si>
  <si>
    <t>E.  Belgian Dark Strong Ale</t>
  </si>
  <si>
    <t xml:space="preserve">1075-110+  </t>
  </si>
  <si>
    <t xml:space="preserve">1010-24 </t>
  </si>
  <si>
    <t xml:space="preserve">15-25+ </t>
  </si>
  <si>
    <t>19.  STRONG ALE</t>
  </si>
  <si>
    <t>A.  Old Ale</t>
  </si>
  <si>
    <t xml:space="preserve">1060-90+ </t>
  </si>
  <si>
    <t xml:space="preserve">1015-22+ </t>
  </si>
  <si>
    <t xml:space="preserve">6.0-9.0+ </t>
  </si>
  <si>
    <t xml:space="preserve">30-60+ </t>
  </si>
  <si>
    <t>10-22+</t>
  </si>
  <si>
    <t>B.  English Barley wine</t>
  </si>
  <si>
    <t xml:space="preserve">1080-120+ </t>
  </si>
  <si>
    <t xml:space="preserve">35-70 </t>
  </si>
  <si>
    <t>8-22</t>
  </si>
  <si>
    <t>Fuggles, EKG, Northdown, Target</t>
  </si>
  <si>
    <t>C.  American Barley wine</t>
  </si>
  <si>
    <t xml:space="preserve">1016-30+ </t>
  </si>
  <si>
    <t xml:space="preserve">50-120+ </t>
  </si>
  <si>
    <t>10-19</t>
  </si>
  <si>
    <t>Citrusy American hops</t>
  </si>
  <si>
    <t>20.  FRUIT BEER</t>
  </si>
  <si>
    <t>Data varies with beer style used</t>
  </si>
  <si>
    <t>21. SPICE/HERB/VEGETABLE BEER</t>
  </si>
  <si>
    <t>A.  Spice/Herb/Vegetable Beer</t>
  </si>
  <si>
    <t>Petle, Saaz, Fuggles, Goldings</t>
  </si>
  <si>
    <t>B.  Christmas/Winter Specialty Spiced Beer</t>
  </si>
  <si>
    <t xml:space="preserve">Challenger, Styrians, Saaz </t>
  </si>
  <si>
    <t>22.  SMOKE-FLAVORED AND WOOD-AGED BEER</t>
  </si>
  <si>
    <t>A.  Classic Rauchbier</t>
  </si>
  <si>
    <t>14-22+</t>
  </si>
  <si>
    <t>Saaz, Tett</t>
  </si>
  <si>
    <t>B.  Other Smoked Beer</t>
  </si>
  <si>
    <t>C.  Wood-Aged Beer</t>
  </si>
  <si>
    <t>23. SPECIALTY BEER</t>
  </si>
  <si>
    <t xml:space="preserve">        Beer Judge Certification Program. For up-to-date inforation see:-</t>
  </si>
  <si>
    <t>www.bjcp.org/stylecenter.php</t>
  </si>
  <si>
    <r>
      <t>Disclamer:</t>
    </r>
    <r>
      <rPr>
        <sz val="11.5"/>
        <rFont val="Times New Roman"/>
        <family val="1"/>
      </rPr>
      <t xml:space="preserve"> No responsibility is assumed or implied as a result of using this spreadsheet.</t>
    </r>
  </si>
  <si>
    <t xml:space="preserve">Farmhouse Ale 3726 </t>
  </si>
  <si>
    <t xml:space="preserve">Forbidden Fruit Yeast 3463 </t>
  </si>
  <si>
    <t>French Ale Yeast WLP039</t>
  </si>
  <si>
    <t>French Saison 3711</t>
  </si>
  <si>
    <t xml:space="preserve">Gambrinus Lager 2002 </t>
  </si>
  <si>
    <t xml:space="preserve">German Ale 1007 </t>
  </si>
  <si>
    <t xml:space="preserve">German Ale II WLP003 </t>
  </si>
  <si>
    <t xml:space="preserve">German Ale/Kölsch WLP029 </t>
  </si>
  <si>
    <t>German Bock Lager WLP833</t>
  </si>
  <si>
    <t xml:space="preserve">German Lager WLP830 </t>
  </si>
  <si>
    <t xml:space="preserve">German Wheat 3333 </t>
  </si>
  <si>
    <t xml:space="preserve">Hefeweizen Ale WLP300 </t>
  </si>
  <si>
    <t xml:space="preserve">Hefeweizen IV Ale WLP380 </t>
  </si>
  <si>
    <t xml:space="preserve">Irish Ale 1084 </t>
  </si>
  <si>
    <t xml:space="preserve">Irish Ale WLP004 </t>
  </si>
  <si>
    <t xml:space="preserve">Kölsch 2565 </t>
  </si>
  <si>
    <t xml:space="preserve">Lactobacillus 5335 </t>
  </si>
  <si>
    <t xml:space="preserve">Lactobacillus Delbrueckii 4335 </t>
  </si>
  <si>
    <t>Leuven Pale Ale 3538 {Du Bocq (Corsendonk)}</t>
  </si>
  <si>
    <t xml:space="preserve">London Ale 1028 </t>
  </si>
  <si>
    <t xml:space="preserve">London Ale III 1318 </t>
  </si>
  <si>
    <t xml:space="preserve">London Ale WLP013 </t>
  </si>
  <si>
    <t xml:space="preserve">London ESB Ale 1968 </t>
  </si>
  <si>
    <t xml:space="preserve">Mexican Lager Yeast WLP940 </t>
  </si>
  <si>
    <t xml:space="preserve">Munich Lager 2308 </t>
  </si>
  <si>
    <t>UK &amp; US Proof converters</t>
  </si>
  <si>
    <t>ABV/ABV converter</t>
  </si>
  <si>
    <r>
      <t xml:space="preserve">CALORIE/UNIT COUNTER </t>
    </r>
    <r>
      <rPr>
        <sz val="10"/>
        <color indexed="10"/>
        <rFont val="Times New Roman"/>
        <family val="1"/>
      </rPr>
      <t xml:space="preserve"> (Mainly for diabetes suffers. All figures are approximate.)</t>
    </r>
  </si>
  <si>
    <t>Acid is expressed in terms of the tartaric eqiuvalent.</t>
  </si>
  <si>
    <t xml:space="preserve"> carbs/serving (g)</t>
  </si>
  <si>
    <t xml:space="preserve"> sugar/serving (g)</t>
  </si>
  <si>
    <t>Serving size (g)</t>
  </si>
  <si>
    <t>Note:- 1 ml of Ritchie's hop extract in 1 litre of beer add 69 EBU. DO NOT BOIL.</t>
  </si>
  <si>
    <t xml:space="preserve">Muntons Premium Gold </t>
  </si>
  <si>
    <t xml:space="preserve">Muntons </t>
  </si>
  <si>
    <t xml:space="preserve">Muntons Standard Yeast </t>
  </si>
  <si>
    <t xml:space="preserve">North American Lager 2272 </t>
  </si>
  <si>
    <t xml:space="preserve">North European Lager BRY 203 </t>
  </si>
  <si>
    <t xml:space="preserve">Northwest Ale 1332 </t>
  </si>
  <si>
    <t xml:space="preserve">Nottingham </t>
  </si>
  <si>
    <t xml:space="preserve">Danstar </t>
  </si>
  <si>
    <t xml:space="preserve">Octoberfest Lager Blend 2633 </t>
  </si>
  <si>
    <t xml:space="preserve">Oktoberfest/Märzen WLP820 </t>
  </si>
  <si>
    <t xml:space="preserve">Old Bavarian Lager Yeast WLP920 </t>
  </si>
  <si>
    <t xml:space="preserve">Pacific Ale WLP041 </t>
  </si>
  <si>
    <t>Pediococcus 5733</t>
  </si>
  <si>
    <t xml:space="preserve">Pilsen Lager 2007 </t>
  </si>
  <si>
    <t xml:space="preserve">Pilsner Lager WLP800 </t>
  </si>
  <si>
    <t xml:space="preserve">Premium Bitter Ale WLP026 </t>
  </si>
  <si>
    <t xml:space="preserve">Ringwood Ale 1187 </t>
  </si>
  <si>
    <t>Roeselare Ale Blend 3763</t>
  </si>
  <si>
    <t xml:space="preserve">Safale S-04 </t>
  </si>
  <si>
    <t xml:space="preserve">Fermentis </t>
  </si>
  <si>
    <t>The American colour measuring system, °SRM (Standard Reference Method), is approximately 0.58 x °EBC as they use a ½ inch “glass”</t>
  </si>
  <si>
    <t>Zurich Lager WLP885</t>
  </si>
  <si>
    <t>15+</t>
  </si>
  <si>
    <t>Go to the BYO web site for more information.</t>
  </si>
  <si>
    <t xml:space="preserve">Wyeast Labs yeasts:-   </t>
  </si>
  <si>
    <t>White Labs yeasts:-</t>
  </si>
  <si>
    <t xml:space="preserve">Wyeast Labs Alcohol Tolerance: </t>
  </si>
  <si>
    <t>1****</t>
  </si>
  <si>
    <t>WLP0**</t>
  </si>
  <si>
    <t>V. High:</t>
  </si>
  <si>
    <t>Over 15%</t>
  </si>
  <si>
    <t>Lager</t>
  </si>
  <si>
    <t>2****</t>
  </si>
  <si>
    <t>WLP8**/WLP9**</t>
  </si>
  <si>
    <t>High:</t>
  </si>
  <si>
    <r>
      <t xml:space="preserve">Suitable for beers made with malts only </t>
    </r>
    <r>
      <rPr>
        <sz val="10"/>
        <color indexed="10"/>
        <rFont val="Times New Roman"/>
        <family val="1"/>
      </rPr>
      <t>(NO adjuncts/sugars)</t>
    </r>
    <r>
      <rPr>
        <sz val="10"/>
        <rFont val="Times New Roman"/>
        <family val="0"/>
      </rPr>
      <t>.</t>
    </r>
  </si>
  <si>
    <t>10-15%</t>
  </si>
  <si>
    <t>Wheat</t>
  </si>
  <si>
    <t>3****</t>
  </si>
  <si>
    <t>Med/High:</t>
  </si>
  <si>
    <t>8-12%</t>
  </si>
  <si>
    <t>Wine</t>
  </si>
  <si>
    <t>4****</t>
  </si>
  <si>
    <t>Medium:</t>
  </si>
  <si>
    <t>5-10%</t>
  </si>
  <si>
    <t>Note:- Other strains of Wyeast yeast exist.</t>
  </si>
  <si>
    <t>Low:</t>
  </si>
  <si>
    <t>2-5%</t>
  </si>
  <si>
    <t>Lallemand produce "Danstar" yeasts.</t>
  </si>
  <si>
    <t>Pete's Priming Calculations For Bottle-Conditioned Home Brewed Beers (&amp; Wines Etc.)</t>
  </si>
  <si>
    <t>Typical Levels of Carbonation in Various Beer Styles</t>
  </si>
  <si>
    <t>NOTE That figures apply to glass bottles only, PET bottles tend to swell very slightly.</t>
  </si>
  <si>
    <t xml:space="preserve">American Amber Ale </t>
  </si>
  <si>
    <t>Celsius temperatures are entered in the range of 0-30° in 1° steps &amp; from 32-86°F in 2° steps.</t>
  </si>
  <si>
    <t xml:space="preserve">American Brown </t>
  </si>
  <si>
    <t xml:space="preserve">American Lager </t>
  </si>
  <si>
    <t>METRIC UNITS</t>
  </si>
  <si>
    <t xml:space="preserve">American Pale Ale </t>
  </si>
  <si>
    <t>litres of fermented beer.</t>
  </si>
  <si>
    <t>American Pilsner</t>
  </si>
  <si>
    <t>Chosen</t>
  </si>
  <si>
    <t xml:space="preserve">Brew </t>
  </si>
  <si>
    <t>Glucose/</t>
  </si>
  <si>
    <t>American Wheat</t>
  </si>
  <si>
    <t>Carb.</t>
  </si>
  <si>
    <t>(Sucrose) g/</t>
  </si>
  <si>
    <t>Dextrose g/</t>
  </si>
  <si>
    <t xml:space="preserve">Bamberg Rauchbier </t>
  </si>
  <si>
    <t>litre</t>
  </si>
  <si>
    <t>Barley Wine</t>
  </si>
  <si>
    <t xml:space="preserve">Belgian Ale </t>
  </si>
  <si>
    <t>level 5ml tsp</t>
  </si>
  <si>
    <t>Belgian Dubbel</t>
  </si>
  <si>
    <t>Belgian Fruit Lambic</t>
  </si>
  <si>
    <t>UK IMPERIAL UNITS</t>
  </si>
  <si>
    <t xml:space="preserve">Belgian Lambic </t>
  </si>
  <si>
    <r>
      <t>20</t>
    </r>
    <r>
      <rPr>
        <b/>
        <sz val="11"/>
        <color indexed="10"/>
        <rFont val="Times New Roman"/>
        <family val="1"/>
      </rPr>
      <t xml:space="preserve"> #</t>
    </r>
  </si>
  <si>
    <r>
      <t>68</t>
    </r>
    <r>
      <rPr>
        <b/>
        <sz val="11"/>
        <color indexed="10"/>
        <rFont val="Times New Roman"/>
        <family val="1"/>
      </rPr>
      <t xml:space="preserve"> #</t>
    </r>
  </si>
  <si>
    <r>
      <t>Measured Gravity</t>
    </r>
    <r>
      <rPr>
        <b/>
        <sz val="11"/>
        <color indexed="8"/>
        <rFont val="Times New Roman"/>
        <family val="1"/>
      </rPr>
      <t xml:space="preserve"> </t>
    </r>
    <r>
      <rPr>
        <b/>
        <sz val="11"/>
        <color indexed="10"/>
        <rFont val="Times New Roman"/>
        <family val="1"/>
      </rPr>
      <t>#</t>
    </r>
  </si>
  <si>
    <t>Corrected Gravity</t>
  </si>
  <si>
    <r>
      <t>#</t>
    </r>
    <r>
      <rPr>
        <b/>
        <sz val="8"/>
        <color indexed="10"/>
        <rFont val="Times New Roman"/>
        <family val="1"/>
      </rPr>
      <t xml:space="preserve"> </t>
    </r>
    <r>
      <rPr>
        <sz val="10"/>
        <rFont val="Times New Roman"/>
        <family val="1"/>
      </rPr>
      <t>For old hydrometers calibrated at 15°C or 59°F, just add "</t>
    </r>
    <r>
      <rPr>
        <sz val="10"/>
        <color indexed="10"/>
        <rFont val="Times New Roman"/>
        <family val="1"/>
      </rPr>
      <t>1</t>
    </r>
    <r>
      <rPr>
        <sz val="10"/>
        <rFont val="Times New Roman"/>
        <family val="1"/>
      </rPr>
      <t>" to the appropriate "Measured Gravity" cell.</t>
    </r>
  </si>
  <si>
    <t>Hydrometer Temperature Correction</t>
  </si>
  <si>
    <t>UK gall of fermented beer.</t>
  </si>
  <si>
    <t xml:space="preserve">Belgian Tripel </t>
  </si>
  <si>
    <t>Brew</t>
  </si>
  <si>
    <t>Belgian White (Wit)</t>
  </si>
  <si>
    <t>(Sucrose) oz/</t>
  </si>
  <si>
    <t>Dextrose oz/</t>
  </si>
  <si>
    <t xml:space="preserve">Berliner Weisse </t>
  </si>
  <si>
    <t>UK Pt</t>
  </si>
  <si>
    <t>Biere De Garde</t>
  </si>
  <si>
    <t>Bock</t>
  </si>
  <si>
    <t>gm</t>
  </si>
  <si>
    <t>Bohemian Pilsner</t>
  </si>
  <si>
    <t>level 5ml tsp.</t>
  </si>
  <si>
    <t>California Common</t>
  </si>
  <si>
    <t>US UNITS</t>
  </si>
  <si>
    <t>Cream Ale</t>
  </si>
  <si>
    <t>US gall of fermented beer.</t>
  </si>
  <si>
    <t>Dopple Bock</t>
  </si>
  <si>
    <t>Dortmunder Export</t>
  </si>
  <si>
    <t>Dunkelweizen</t>
  </si>
  <si>
    <t>US Pt</t>
  </si>
  <si>
    <t>Dusseldorf Altbier</t>
  </si>
  <si>
    <t>Eisbock</t>
  </si>
  <si>
    <t>English Bitter</t>
  </si>
  <si>
    <t xml:space="preserve">English Brown </t>
  </si>
  <si>
    <t>English Mild</t>
  </si>
  <si>
    <t>Temperature Converter</t>
  </si>
  <si>
    <t>English Old/Strong Ale</t>
  </si>
  <si>
    <t>F</t>
  </si>
  <si>
    <t>Denotes editable cells.</t>
  </si>
  <si>
    <t>English Pale Ale</t>
  </si>
  <si>
    <t>Flanders Brown</t>
  </si>
  <si>
    <t>Foreign-Style Stout</t>
  </si>
  <si>
    <t>Weight Converter</t>
  </si>
  <si>
    <t>German Pilsner</t>
  </si>
  <si>
    <t>Helles Bock</t>
  </si>
  <si>
    <t>Imperial Stout</t>
  </si>
  <si>
    <t>India Pale Ale</t>
  </si>
  <si>
    <t>Irish Dry Stout</t>
  </si>
  <si>
    <t>UK</t>
  </si>
  <si>
    <t>US</t>
  </si>
  <si>
    <t>Kolsch</t>
  </si>
  <si>
    <t>Galls</t>
  </si>
  <si>
    <t>Maibock</t>
  </si>
  <si>
    <t>Marzen/Oktoberfest</t>
  </si>
  <si>
    <t>Munchner Helles</t>
  </si>
  <si>
    <t>Munich Dunkel</t>
  </si>
  <si>
    <t>Oud Bruin</t>
  </si>
  <si>
    <t xml:space="preserve">(°C) </t>
  </si>
  <si>
    <t xml:space="preserve">(°F) </t>
  </si>
  <si>
    <t xml:space="preserve">      PSI     OR   Atm.   OR    Bar  </t>
  </si>
  <si>
    <t>Porter</t>
  </si>
  <si>
    <t>Schwarzbier</t>
  </si>
  <si>
    <t>Scottish Ale</t>
  </si>
  <si>
    <t>Some background info:-</t>
  </si>
  <si>
    <t>Strong Scotch Ale</t>
  </si>
  <si>
    <t>Sweet Stout</t>
  </si>
  <si>
    <t>SUCROSE</t>
  </si>
  <si>
    <t>Vienna</t>
  </si>
  <si>
    <t>6 US gallons = 5 UK = 22.7 litres
5 US gallons = 18.9 litres
1 UK/Euro. litre = 1 US liter
(Approx. Figures)</t>
  </si>
  <si>
    <t>Before fermentation, sucrose is hydrolysed into glucose &amp; fructose.</t>
  </si>
  <si>
    <t>Weizen/Weissbier</t>
  </si>
  <si>
    <t>(That is why replacing sugar with glucose &amp; fructose results in faster fermentations.)</t>
  </si>
  <si>
    <t>Weizenbock</t>
  </si>
  <si>
    <t>Quite a comprehensive list downloaded from the internet. These, like the other sets of information, should be regarded as "typical".
        Author unknown.</t>
  </si>
  <si>
    <t xml:space="preserve"> Sucrose         Water        Glucose &amp; Fructose        Ethyl Alcohol  Carbon Dioxide</t>
  </si>
  <si>
    <t xml:space="preserve">       (same formula)   </t>
  </si>
  <si>
    <t>342g</t>
  </si>
  <si>
    <t>18g</t>
  </si>
  <si>
    <t xml:space="preserve">            360g</t>
  </si>
  <si>
    <t>184g</t>
  </si>
  <si>
    <t xml:space="preserve">    176g</t>
  </si>
  <si>
    <t xml:space="preserve">    (8.96 litre)</t>
  </si>
  <si>
    <t>1g</t>
  </si>
  <si>
    <t>0.0526g</t>
  </si>
  <si>
    <t>1.0526g</t>
  </si>
  <si>
    <t>0.5380g</t>
  </si>
  <si>
    <t xml:space="preserve">    0.5146g</t>
  </si>
  <si>
    <t>1g Sucrose gives</t>
  </si>
  <si>
    <t xml:space="preserve">    (0.0262 litre)</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</si>
</sst>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0000000000000"/>
    <numFmt numFmtId="175" formatCode="0.0000000000000000"/>
    <numFmt numFmtId="176" formatCode="0.000000000000000"/>
    <numFmt numFmtId="177" formatCode="0.00000"/>
    <numFmt numFmtId="178" formatCode="0.0000"/>
    <numFmt numFmtId="179" formatCode="0.000000"/>
    <numFmt numFmtId="180" formatCode="0.00000000"/>
    <numFmt numFmtId="181" formatCode="00000"/>
    <numFmt numFmtId="182" formatCode="#\ ?/2"/>
    <numFmt numFmtId="183" formatCode="&quot;Yes&quot;;&quot;Yes&quot;;&quot;No&quot;"/>
    <numFmt numFmtId="184" formatCode="&quot;True&quot;;&quot;True&quot;;&quot;False&quot;"/>
    <numFmt numFmtId="185" formatCode="&quot;On&quot;;&quot;On&quot;;&quot;Off&quot;"/>
    <numFmt numFmtId="186" formatCode="mmm\-yyyy"/>
    <numFmt numFmtId="187" formatCode="[$-809]dd\ mmmm\ yyyy"/>
    <numFmt numFmtId="188" formatCode="[$€-2]\ #,##0.00_);[Red]\([$€-2]\ #,##0.00\)"/>
    <numFmt numFmtId="189" formatCode="0.0%"/>
    <numFmt numFmtId="190" formatCode="0.000000000"/>
    <numFmt numFmtId="191" formatCode="&quot;£&quot;#,##0.00"/>
    <numFmt numFmtId="192" formatCode="&quot;£&quot;#,##0"/>
    <numFmt numFmtId="193" formatCode="0.0000000"/>
    <numFmt numFmtId="194" formatCode="0.00000000000000"/>
    <numFmt numFmtId="195" formatCode="#,##0.0000"/>
    <numFmt numFmtId="196" formatCode="&quot;£&quot;#,##0.0"/>
    <numFmt numFmtId="197" formatCode="#,##0.0"/>
    <numFmt numFmtId="198" formatCode="&quot;£&quot;#,##0.000"/>
    <numFmt numFmtId="199" formatCode="0.0E+00"/>
    <numFmt numFmtId="200" formatCode="0.E+00"/>
    <numFmt numFmtId="201" formatCode="#\ ??/16"/>
    <numFmt numFmtId="202" formatCode="0_ ;[Red]\-0\ "/>
    <numFmt numFmtId="203" formatCode="0.00_ ;[Red]\-0.00\ "/>
    <numFmt numFmtId="204" formatCode="0.0_ ;[Red]\-0.0\ "/>
    <numFmt numFmtId="205" formatCode="0;[Red]0"/>
    <numFmt numFmtId="206" formatCode="#,##0.000"/>
    <numFmt numFmtId="207" formatCode="0.0000000000"/>
    <numFmt numFmtId="208" formatCode="0.000000000000"/>
    <numFmt numFmtId="209" formatCode="\$#,##0_);\(\$#,##0\)"/>
    <numFmt numFmtId="210" formatCode="\$#,##0_);[Red]\(\$#,##0\)"/>
    <numFmt numFmtId="211" formatCode="\$#,##0.00_);\(\$#,##0.00\)"/>
    <numFmt numFmtId="212" formatCode="\$#,##0.00_);[Red]\(\$#,##0.00\)"/>
    <numFmt numFmtId="213" formatCode="_-\£* #,##0.00_-;&quot;-£&quot;* #,##0.00_-;_-\£* \-??_-;_-@_-"/>
  </numFmts>
  <fonts count="198">
    <font>
      <sz val="11"/>
      <name val="Times New Roman"/>
      <family val="0"/>
    </font>
    <font>
      <u val="single"/>
      <sz val="11"/>
      <color indexed="36"/>
      <name val="Times New Roman"/>
      <family val="0"/>
    </font>
    <font>
      <u val="single"/>
      <sz val="11"/>
      <color indexed="12"/>
      <name val="Times New Roman"/>
      <family val="0"/>
    </font>
    <font>
      <sz val="10"/>
      <name val="Times New Roman"/>
      <family val="0"/>
    </font>
    <font>
      <sz val="8"/>
      <color indexed="23"/>
      <name val="Times New Roman"/>
      <family val="1"/>
    </font>
    <font>
      <sz val="8"/>
      <color indexed="55"/>
      <name val="Times New Roman"/>
      <family val="1"/>
    </font>
    <font>
      <sz val="10.5"/>
      <name val="Times New Roman"/>
      <family val="1"/>
    </font>
    <font>
      <sz val="9"/>
      <name val="Times New Roman"/>
      <family val="1"/>
    </font>
    <font>
      <sz val="8"/>
      <name val="Times New Roman"/>
      <family val="1"/>
    </font>
    <font>
      <sz val="10"/>
      <color indexed="10"/>
      <name val="Times New Roman"/>
      <family val="0"/>
    </font>
    <font>
      <sz val="10"/>
      <color indexed="55"/>
      <name val="Times New Roman"/>
      <family val="1"/>
    </font>
    <font>
      <sz val="11"/>
      <color indexed="10"/>
      <name val="Times New Roman"/>
      <family val="0"/>
    </font>
    <font>
      <sz val="10"/>
      <color indexed="23"/>
      <name val="Times New Roman"/>
      <family val="1"/>
    </font>
    <font>
      <sz val="10"/>
      <color indexed="12"/>
      <name val="Times New Roman"/>
      <family val="0"/>
    </font>
    <font>
      <b/>
      <sz val="11"/>
      <color indexed="10"/>
      <name val="Times New Roman"/>
      <family val="1"/>
    </font>
    <font>
      <sz val="8"/>
      <color indexed="10"/>
      <name val="Times New Roman"/>
      <family val="1"/>
    </font>
    <font>
      <sz val="9"/>
      <color indexed="55"/>
      <name val="Times New Roman"/>
      <family val="1"/>
    </font>
    <font>
      <b/>
      <sz val="10"/>
      <name val="Times New Roman"/>
      <family val="1"/>
    </font>
    <font>
      <u val="single"/>
      <sz val="8"/>
      <color indexed="12"/>
      <name val="Times New Roman"/>
      <family val="0"/>
    </font>
    <font>
      <i/>
      <sz val="11"/>
      <color indexed="10"/>
      <name val="Times New Roman"/>
      <family val="1"/>
    </font>
    <font>
      <sz val="11"/>
      <color indexed="9"/>
      <name val="Times New Roman"/>
      <family val="1"/>
    </font>
    <font>
      <u val="single"/>
      <sz val="11"/>
      <name val="Times New Roman"/>
      <family val="0"/>
    </font>
    <font>
      <sz val="11"/>
      <color indexed="23"/>
      <name val="Times New Roman"/>
      <family val="0"/>
    </font>
    <font>
      <sz val="10"/>
      <name val="Arial"/>
      <family val="0"/>
    </font>
    <font>
      <sz val="12"/>
      <name val="Times New Roman"/>
      <family val="1"/>
    </font>
    <font>
      <b/>
      <u val="single"/>
      <sz val="12"/>
      <name val="Times New Roman"/>
      <family val="1"/>
    </font>
    <font>
      <b/>
      <sz val="12"/>
      <color indexed="10"/>
      <name val="Times New Roman"/>
      <family val="1"/>
    </font>
    <font>
      <sz val="11"/>
      <color indexed="14"/>
      <name val="Times New Roman"/>
      <family val="1"/>
    </font>
    <font>
      <b/>
      <sz val="14"/>
      <name val="Times New Roman"/>
      <family val="1"/>
    </font>
    <font>
      <sz val="10"/>
      <color indexed="57"/>
      <name val="Times New Roman"/>
      <family val="1"/>
    </font>
    <font>
      <sz val="10"/>
      <color indexed="9"/>
      <name val="Times New Roman"/>
      <family val="1"/>
    </font>
    <font>
      <b/>
      <u val="single"/>
      <sz val="10"/>
      <name val="Times New Roman"/>
      <family val="1"/>
    </font>
    <font>
      <b/>
      <i/>
      <u val="single"/>
      <sz val="10"/>
      <color indexed="10"/>
      <name val="Times New Roman"/>
      <family val="1"/>
    </font>
    <font>
      <i/>
      <sz val="10"/>
      <name val="Times New Roman"/>
      <family val="1"/>
    </font>
    <font>
      <b/>
      <sz val="9"/>
      <name val="Times New Roman"/>
      <family val="1"/>
    </font>
    <font>
      <b/>
      <sz val="10"/>
      <color indexed="20"/>
      <name val="Times New Roman"/>
      <family val="1"/>
    </font>
    <font>
      <b/>
      <sz val="10"/>
      <color indexed="10"/>
      <name val="Times New Roman"/>
      <family val="1"/>
    </font>
    <font>
      <sz val="6"/>
      <name val="Times New Roman"/>
      <family val="1"/>
    </font>
    <font>
      <sz val="7"/>
      <name val="Times New Roman"/>
      <family val="1"/>
    </font>
    <font>
      <sz val="10"/>
      <color indexed="20"/>
      <name val="Times New Roman"/>
      <family val="0"/>
    </font>
    <font>
      <sz val="10"/>
      <color indexed="16"/>
      <name val="Times New Roman"/>
      <family val="0"/>
    </font>
    <font>
      <i/>
      <sz val="10"/>
      <color indexed="10"/>
      <name val="Times New Roman"/>
      <family val="1"/>
    </font>
    <font>
      <sz val="7"/>
      <color indexed="22"/>
      <name val="Times New Roman"/>
      <family val="0"/>
    </font>
    <font>
      <sz val="10"/>
      <color indexed="8"/>
      <name val="Times New Roman"/>
      <family val="1"/>
    </font>
    <font>
      <sz val="8"/>
      <color indexed="22"/>
      <name val="Times New Roman"/>
      <family val="1"/>
    </font>
    <font>
      <sz val="5.5"/>
      <name val="Times New Roman"/>
      <family val="1"/>
    </font>
    <font>
      <b/>
      <sz val="11"/>
      <name val="Times New Roman"/>
      <family val="1"/>
    </font>
    <font>
      <b/>
      <sz val="10.5"/>
      <name val="Times New Roman"/>
      <family val="1"/>
    </font>
    <font>
      <u val="single"/>
      <sz val="10"/>
      <color indexed="12"/>
      <name val="Times New Roman"/>
      <family val="0"/>
    </font>
    <font>
      <sz val="10"/>
      <color indexed="22"/>
      <name val="Times New Roman"/>
      <family val="0"/>
    </font>
    <font>
      <b/>
      <sz val="6"/>
      <name val="Times New Roman"/>
      <family val="1"/>
    </font>
    <font>
      <u val="single"/>
      <sz val="10"/>
      <name val="Times New Roman"/>
      <family val="0"/>
    </font>
    <font>
      <b/>
      <sz val="10"/>
      <color indexed="48"/>
      <name val="Times New Roman"/>
      <family val="1"/>
    </font>
    <font>
      <b/>
      <sz val="9"/>
      <color indexed="20"/>
      <name val="Times New Roman"/>
      <family val="1"/>
    </font>
    <font>
      <sz val="10"/>
      <color indexed="60"/>
      <name val="Times New Roman"/>
      <family val="0"/>
    </font>
    <font>
      <b/>
      <sz val="9"/>
      <color indexed="60"/>
      <name val="Times New Roman"/>
      <family val="1"/>
    </font>
    <font>
      <sz val="9"/>
      <color indexed="12"/>
      <name val="Times New Roman"/>
      <family val="0"/>
    </font>
    <font>
      <b/>
      <sz val="12"/>
      <color indexed="12"/>
      <name val="Times New Roman"/>
      <family val="1"/>
    </font>
    <font>
      <b/>
      <sz val="8"/>
      <color indexed="20"/>
      <name val="Times New Roman"/>
      <family val="1"/>
    </font>
    <font>
      <b/>
      <sz val="8"/>
      <color indexed="60"/>
      <name val="Times New Roman"/>
      <family val="1"/>
    </font>
    <font>
      <b/>
      <u val="single"/>
      <sz val="12"/>
      <color indexed="10"/>
      <name val="Times New Roman"/>
      <family val="1"/>
    </font>
    <font>
      <u val="single"/>
      <sz val="9"/>
      <color indexed="12"/>
      <name val="Times New Roman"/>
      <family val="0"/>
    </font>
    <font>
      <u val="single"/>
      <sz val="9"/>
      <name val="Times New Roman"/>
      <family val="0"/>
    </font>
    <font>
      <u val="single"/>
      <sz val="9"/>
      <color indexed="55"/>
      <name val="Times New Roman"/>
      <family val="0"/>
    </font>
    <font>
      <sz val="10"/>
      <color indexed="48"/>
      <name val="Times New Roman"/>
      <family val="1"/>
    </font>
    <font>
      <sz val="10"/>
      <color indexed="14"/>
      <name val="Times New Roman"/>
      <family val="0"/>
    </font>
    <font>
      <b/>
      <u val="single"/>
      <sz val="10"/>
      <color indexed="8"/>
      <name val="Times New Roman"/>
      <family val="1"/>
    </font>
    <font>
      <b/>
      <sz val="10"/>
      <color indexed="8"/>
      <name val="Times New Roman"/>
      <family val="1"/>
    </font>
    <font>
      <sz val="9"/>
      <color indexed="8"/>
      <name val="Times New Roman"/>
      <family val="1"/>
    </font>
    <font>
      <b/>
      <sz val="9"/>
      <color indexed="10"/>
      <name val="Times New Roman"/>
      <family val="1"/>
    </font>
    <font>
      <sz val="8"/>
      <color indexed="63"/>
      <name val="Times New Roman"/>
      <family val="1"/>
    </font>
    <font>
      <sz val="11"/>
      <color indexed="63"/>
      <name val="Times New Roman"/>
      <family val="1"/>
    </font>
    <font>
      <sz val="10"/>
      <color indexed="63"/>
      <name val="Times New Roman"/>
      <family val="1"/>
    </font>
    <font>
      <b/>
      <sz val="10"/>
      <color indexed="9"/>
      <name val="Times New Roman"/>
      <family val="1"/>
    </font>
    <font>
      <sz val="11"/>
      <color indexed="55"/>
      <name val="Times New Roman"/>
      <family val="0"/>
    </font>
    <font>
      <sz val="6"/>
      <color indexed="10"/>
      <name val="Times New Roman"/>
      <family val="1"/>
    </font>
    <font>
      <u val="single"/>
      <sz val="11"/>
      <color indexed="53"/>
      <name val="Times New Roman"/>
      <family val="1"/>
    </font>
    <font>
      <sz val="10"/>
      <color indexed="53"/>
      <name val="Times New Roman"/>
      <family val="1"/>
    </font>
    <font>
      <b/>
      <sz val="6"/>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4"/>
      <name val="Times New Roman"/>
      <family val="1"/>
    </font>
    <font>
      <u val="single"/>
      <sz val="8"/>
      <name val="Times New Roman"/>
      <family val="1"/>
    </font>
    <font>
      <b/>
      <u val="single"/>
      <sz val="10"/>
      <color indexed="10"/>
      <name val="Times New Roman"/>
      <family val="1"/>
    </font>
    <font>
      <sz val="9"/>
      <color indexed="54"/>
      <name val="Times New Roman"/>
      <family val="1"/>
    </font>
    <font>
      <i/>
      <sz val="8"/>
      <color indexed="10"/>
      <name val="Times New Roman"/>
      <family val="1"/>
    </font>
    <font>
      <b/>
      <sz val="11"/>
      <color indexed="17"/>
      <name val="Times New Roman"/>
      <family val="1"/>
    </font>
    <font>
      <sz val="9"/>
      <color indexed="10"/>
      <name val="Times New Roman"/>
      <family val="1"/>
    </font>
    <font>
      <sz val="12"/>
      <color indexed="10"/>
      <name val="Times New Roman"/>
      <family val="1"/>
    </font>
    <font>
      <b/>
      <sz val="12"/>
      <name val="Times New Roman"/>
      <family val="1"/>
    </font>
    <font>
      <b/>
      <sz val="10"/>
      <color indexed="53"/>
      <name val="Times New Roman"/>
      <family val="1"/>
    </font>
    <font>
      <sz val="11"/>
      <color indexed="20"/>
      <name val="Times New Roman"/>
      <family val="0"/>
    </font>
    <font>
      <b/>
      <sz val="12"/>
      <color indexed="20"/>
      <name val="Times New Roman"/>
      <family val="1"/>
    </font>
    <font>
      <sz val="10"/>
      <color indexed="17"/>
      <name val="Times New Roman"/>
      <family val="1"/>
    </font>
    <font>
      <sz val="10"/>
      <color indexed="54"/>
      <name val="Times New Roman"/>
      <family val="1"/>
    </font>
    <font>
      <sz val="10"/>
      <color indexed="50"/>
      <name val="Times New Roman"/>
      <family val="1"/>
    </font>
    <font>
      <sz val="10"/>
      <color indexed="45"/>
      <name val="Times New Roman"/>
      <family val="1"/>
    </font>
    <font>
      <sz val="10"/>
      <color indexed="61"/>
      <name val="Times New Roman"/>
      <family val="1"/>
    </font>
    <font>
      <b/>
      <sz val="11"/>
      <color indexed="14"/>
      <name val="Times New Roman"/>
      <family val="1"/>
    </font>
    <font>
      <b/>
      <u val="single"/>
      <sz val="11"/>
      <color indexed="14"/>
      <name val="Times New Roman"/>
      <family val="1"/>
    </font>
    <font>
      <b/>
      <sz val="11"/>
      <color indexed="53"/>
      <name val="Times New Roman"/>
      <family val="1"/>
    </font>
    <font>
      <b/>
      <u val="single"/>
      <sz val="11"/>
      <color indexed="53"/>
      <name val="Times New Roman"/>
      <family val="1"/>
    </font>
    <font>
      <b/>
      <u val="single"/>
      <sz val="11"/>
      <color indexed="17"/>
      <name val="Times New Roman"/>
      <family val="1"/>
    </font>
    <font>
      <sz val="9"/>
      <color indexed="14"/>
      <name val="Times New Roman"/>
      <family val="1"/>
    </font>
    <font>
      <sz val="9"/>
      <color indexed="53"/>
      <name val="Times New Roman"/>
      <family val="1"/>
    </font>
    <font>
      <sz val="9"/>
      <color indexed="17"/>
      <name val="Times New Roman"/>
      <family val="1"/>
    </font>
    <font>
      <b/>
      <sz val="10"/>
      <color indexed="14"/>
      <name val="Times New Roman"/>
      <family val="1"/>
    </font>
    <font>
      <b/>
      <sz val="10"/>
      <color indexed="57"/>
      <name val="Times New Roman"/>
      <family val="1"/>
    </font>
    <font>
      <u val="single"/>
      <sz val="11"/>
      <color indexed="14"/>
      <name val="Times New Roman"/>
      <family val="1"/>
    </font>
    <font>
      <u val="single"/>
      <sz val="11"/>
      <color indexed="17"/>
      <name val="Times New Roman"/>
      <family val="1"/>
    </font>
    <font>
      <sz val="9"/>
      <color indexed="50"/>
      <name val="Times New Roman"/>
      <family val="1"/>
    </font>
    <font>
      <sz val="11"/>
      <color indexed="53"/>
      <name val="Times New Roman"/>
      <family val="1"/>
    </font>
    <font>
      <b/>
      <u val="single"/>
      <sz val="13.5"/>
      <name val="Times New Roman"/>
      <family val="1"/>
    </font>
    <font>
      <sz val="10.5"/>
      <color indexed="22"/>
      <name val="Times New Roman"/>
      <family val="1"/>
    </font>
    <font>
      <sz val="10.5"/>
      <color indexed="55"/>
      <name val="Times New Roman"/>
      <family val="1"/>
    </font>
    <font>
      <sz val="10"/>
      <color indexed="52"/>
      <name val="Times New Roman"/>
      <family val="1"/>
    </font>
    <font>
      <sz val="9"/>
      <color indexed="52"/>
      <name val="Times New Roman"/>
      <family val="1"/>
    </font>
    <font>
      <sz val="10.5"/>
      <color indexed="10"/>
      <name val="Times New Roman"/>
      <family val="1"/>
    </font>
    <font>
      <sz val="9"/>
      <color indexed="9"/>
      <name val="Times New Roman"/>
      <family val="1"/>
    </font>
    <font>
      <sz val="10.5"/>
      <color indexed="9"/>
      <name val="Times New Roman"/>
      <family val="1"/>
    </font>
    <font>
      <sz val="10.5"/>
      <color indexed="54"/>
      <name val="Times New Roman"/>
      <family val="1"/>
    </font>
    <font>
      <sz val="10.5"/>
      <color indexed="23"/>
      <name val="Times New Roman"/>
      <family val="1"/>
    </font>
    <font>
      <sz val="11"/>
      <color indexed="54"/>
      <name val="Times New Roman"/>
      <family val="1"/>
    </font>
    <font>
      <sz val="10.5"/>
      <color indexed="48"/>
      <name val="Times New Roman"/>
      <family val="1"/>
    </font>
    <font>
      <sz val="10.5"/>
      <color indexed="53"/>
      <name val="Times New Roman"/>
      <family val="1"/>
    </font>
    <font>
      <b/>
      <sz val="10.5"/>
      <color indexed="10"/>
      <name val="Times New Roman"/>
      <family val="1"/>
    </font>
    <font>
      <u val="single"/>
      <sz val="9"/>
      <color indexed="10"/>
      <name val="Times New Roman"/>
      <family val="1"/>
    </font>
    <font>
      <sz val="9"/>
      <color indexed="23"/>
      <name val="Times New Roman"/>
      <family val="1"/>
    </font>
    <font>
      <u val="single"/>
      <sz val="10.5"/>
      <name val="Times New Roman"/>
      <family val="1"/>
    </font>
    <font>
      <b/>
      <i/>
      <sz val="11"/>
      <color indexed="10"/>
      <name val="Times New Roman"/>
      <family val="1"/>
    </font>
    <font>
      <b/>
      <u val="single"/>
      <sz val="9"/>
      <color indexed="55"/>
      <name val="Times New Roman"/>
      <family val="1"/>
    </font>
    <font>
      <b/>
      <u val="single"/>
      <sz val="10.5"/>
      <color indexed="55"/>
      <name val="Times New Roman"/>
      <family val="1"/>
    </font>
    <font>
      <b/>
      <u val="single"/>
      <sz val="10.5"/>
      <name val="Times New Roman"/>
      <family val="1"/>
    </font>
    <font>
      <b/>
      <u val="single"/>
      <sz val="10.5"/>
      <color indexed="12"/>
      <name val="Times New Roman"/>
      <family val="1"/>
    </font>
    <font>
      <sz val="14"/>
      <color indexed="10"/>
      <name val="Times New Roman"/>
      <family val="1"/>
    </font>
    <font>
      <b/>
      <i/>
      <u val="single"/>
      <sz val="10.5"/>
      <color indexed="10"/>
      <name val="Times New Roman"/>
      <family val="1"/>
    </font>
    <font>
      <sz val="9.5"/>
      <color indexed="55"/>
      <name val="Times New Roman"/>
      <family val="0"/>
    </font>
    <font>
      <sz val="11"/>
      <color indexed="8"/>
      <name val="Book Antiqua"/>
      <family val="2"/>
    </font>
    <font>
      <b/>
      <sz val="8"/>
      <name val="Times New Roman"/>
      <family val="1"/>
    </font>
    <font>
      <b/>
      <sz val="11"/>
      <color indexed="23"/>
      <name val="Times New Roman"/>
      <family val="1"/>
    </font>
    <font>
      <sz val="11"/>
      <name val="Arial"/>
      <family val="2"/>
    </font>
    <font>
      <sz val="12"/>
      <color indexed="55"/>
      <name val="Times New Roman"/>
      <family val="1"/>
    </font>
    <font>
      <vertAlign val="subscript"/>
      <sz val="11"/>
      <name val="Times New Roman"/>
      <family val="1"/>
    </font>
    <font>
      <b/>
      <sz val="10"/>
      <color indexed="17"/>
      <name val="Times New Roman"/>
      <family val="1"/>
    </font>
    <font>
      <b/>
      <u val="single"/>
      <sz val="18"/>
      <name val="Times New Roman"/>
      <family val="1"/>
    </font>
    <font>
      <u val="single"/>
      <sz val="12"/>
      <name val="Times New Roman"/>
      <family val="1"/>
    </font>
    <font>
      <u val="single"/>
      <sz val="16"/>
      <color indexed="12"/>
      <name val="Times New Roman"/>
      <family val="1"/>
    </font>
    <font>
      <sz val="7.5"/>
      <name val="Times New Roman"/>
      <family val="1"/>
    </font>
    <font>
      <sz val="14"/>
      <name val="Times New Roman"/>
      <family val="1"/>
    </font>
    <font>
      <b/>
      <sz val="12"/>
      <color indexed="23"/>
      <name val="Times New Roman"/>
      <family val="1"/>
    </font>
    <font>
      <sz val="14"/>
      <color indexed="23"/>
      <name val="Times New Roman"/>
      <family val="1"/>
    </font>
    <font>
      <b/>
      <sz val="11.5"/>
      <name val="Times New Roman"/>
      <family val="1"/>
    </font>
    <font>
      <sz val="11.5"/>
      <name val="Times New Roman"/>
      <family val="1"/>
    </font>
    <font>
      <b/>
      <u val="single"/>
      <sz val="11.5"/>
      <color indexed="12"/>
      <name val="Times New Roman"/>
      <family val="1"/>
    </font>
    <font>
      <sz val="11.5"/>
      <color indexed="23"/>
      <name val="Times New Roman"/>
      <family val="1"/>
    </font>
    <font>
      <sz val="11.5"/>
      <color indexed="10"/>
      <name val="Times New Roman"/>
      <family val="1"/>
    </font>
    <font>
      <i/>
      <sz val="10.5"/>
      <name val="Times New Roman"/>
      <family val="1"/>
    </font>
    <font>
      <b/>
      <sz val="7"/>
      <color indexed="10"/>
      <name val="Times New Roman"/>
      <family val="1"/>
    </font>
    <font>
      <sz val="9.5"/>
      <color indexed="23"/>
      <name val="Times New Roman"/>
      <family val="0"/>
    </font>
    <font>
      <sz val="10.5"/>
      <color indexed="14"/>
      <name val="Times New Roman"/>
      <family val="0"/>
    </font>
    <font>
      <sz val="10.5"/>
      <color indexed="8"/>
      <name val="Times New Roman"/>
      <family val="0"/>
    </font>
    <font>
      <sz val="8"/>
      <color indexed="8"/>
      <name val="Times New Roman"/>
      <family val="0"/>
    </font>
    <font>
      <sz val="10"/>
      <color indexed="18"/>
      <name val="Times New Roman"/>
      <family val="1"/>
    </font>
    <font>
      <u val="single"/>
      <sz val="10.5"/>
      <color indexed="12"/>
      <name val="Times New Roman"/>
      <family val="0"/>
    </font>
    <font>
      <sz val="9.5"/>
      <color indexed="53"/>
      <name val="Times New Roman"/>
      <family val="0"/>
    </font>
    <font>
      <sz val="10.5"/>
      <color indexed="57"/>
      <name val="Times New Roman"/>
      <family val="0"/>
    </font>
    <font>
      <sz val="8"/>
      <color indexed="14"/>
      <name val="Times New Roman"/>
      <family val="1"/>
    </font>
    <font>
      <b/>
      <sz val="10"/>
      <color indexed="10"/>
      <name val="Arial"/>
      <family val="2"/>
    </font>
    <font>
      <sz val="10.5"/>
      <color indexed="63"/>
      <name val="Times New Roman"/>
      <family val="1"/>
    </font>
    <font>
      <u val="single"/>
      <sz val="10.5"/>
      <color indexed="63"/>
      <name val="Times New Roman"/>
      <family val="1"/>
    </font>
    <font>
      <u val="single"/>
      <sz val="10.5"/>
      <color indexed="23"/>
      <name val="Times New Roman"/>
      <family val="1"/>
    </font>
    <font>
      <i/>
      <sz val="9"/>
      <name val="Times New Roman"/>
      <family val="1"/>
    </font>
    <font>
      <b/>
      <sz val="11"/>
      <color indexed="8"/>
      <name val="Times New Roman"/>
      <family val="1"/>
    </font>
    <font>
      <b/>
      <sz val="8"/>
      <color indexed="10"/>
      <name val="Times New Roman"/>
      <family val="1"/>
    </font>
    <font>
      <b/>
      <u val="single"/>
      <sz val="10.5"/>
      <color indexed="10"/>
      <name val="Times New Roman"/>
      <family val="1"/>
    </font>
    <font>
      <b/>
      <u val="single"/>
      <sz val="11"/>
      <name val="Times New Roman"/>
      <family val="1"/>
    </font>
    <font>
      <b/>
      <u val="single"/>
      <sz val="11"/>
      <color indexed="10"/>
      <name val="Times New Roman"/>
      <family val="1"/>
    </font>
    <font>
      <b/>
      <sz val="10.5"/>
      <color indexed="14"/>
      <name val="Times New Roman"/>
      <family val="1"/>
    </font>
    <font>
      <sz val="9.5"/>
      <color indexed="8"/>
      <name val="Times New Roman"/>
      <family val="1"/>
    </font>
    <font>
      <u val="single"/>
      <sz val="10"/>
      <color indexed="8"/>
      <name val="Times New Roman"/>
      <family val="1"/>
    </font>
    <font>
      <b/>
      <u val="single"/>
      <sz val="10.5"/>
      <color indexed="8"/>
      <name val="Times New Roman"/>
      <family val="1"/>
    </font>
    <font>
      <b/>
      <sz val="10.5"/>
      <color indexed="8"/>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
      <patternFill patternType="solid">
        <fgColor indexed="15"/>
        <bgColor indexed="64"/>
      </patternFill>
    </fill>
    <fill>
      <patternFill patternType="solid">
        <fgColor indexed="17"/>
        <bgColor indexed="64"/>
      </patternFill>
    </fill>
    <fill>
      <patternFill patternType="solid">
        <fgColor indexed="41"/>
        <bgColor indexed="64"/>
      </patternFill>
    </fill>
    <fill>
      <patternFill patternType="solid">
        <fgColor indexed="43"/>
        <bgColor indexed="64"/>
      </patternFill>
    </fill>
    <fill>
      <patternFill patternType="solid">
        <fgColor indexed="65"/>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border>
    <border>
      <left/>
      <right style="thin">
        <color indexed="55"/>
      </right>
      <top style="thin">
        <color indexed="55"/>
      </top>
      <bottom/>
    </border>
    <border>
      <left style="thin">
        <color indexed="55"/>
      </left>
      <right/>
      <top style="thin">
        <color indexed="55"/>
      </top>
      <bottom/>
    </border>
    <border>
      <left style="thin">
        <color indexed="55"/>
      </left>
      <right/>
      <top/>
      <bottom/>
    </border>
    <border>
      <left/>
      <right style="thin">
        <color indexed="55"/>
      </right>
      <top/>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bottom style="thin">
        <color indexed="55"/>
      </bottom>
    </border>
    <border>
      <left style="thin">
        <color indexed="55"/>
      </left>
      <right style="thin">
        <color indexed="55"/>
      </right>
      <top style="thin">
        <color indexed="55"/>
      </top>
      <bottom/>
    </border>
    <border>
      <left style="thin">
        <color indexed="55"/>
      </left>
      <right/>
      <top style="thin">
        <color indexed="55"/>
      </top>
      <bottom style="thin">
        <color indexed="55"/>
      </bottom>
    </border>
    <border>
      <left>
        <color indexed="63"/>
      </left>
      <right style="thin">
        <color indexed="55"/>
      </right>
      <top style="thin">
        <color indexed="55"/>
      </top>
      <bottom style="thin">
        <color indexed="55"/>
      </bottom>
    </border>
    <border>
      <left/>
      <right style="thin">
        <color indexed="8"/>
      </right>
      <top/>
      <bottom/>
    </border>
    <border>
      <left style="thin">
        <color indexed="8"/>
      </left>
      <right style="thin"/>
      <top/>
      <bottom/>
    </border>
    <border>
      <left style="thin">
        <color indexed="10"/>
      </left>
      <right style="thin">
        <color indexed="10"/>
      </right>
      <top style="thin">
        <color indexed="10"/>
      </top>
      <bottom style="thin">
        <color indexed="10"/>
      </bottom>
    </border>
    <border>
      <left style="thin">
        <color indexed="22"/>
      </left>
      <right style="thin"/>
      <top style="thin"/>
      <bottom style="thin"/>
    </border>
    <border>
      <left style="thin">
        <color indexed="22"/>
      </left>
      <right style="thin"/>
      <top>
        <color indexed="63"/>
      </top>
      <bottom>
        <color indexed="63"/>
      </bottom>
    </border>
    <border>
      <left style="thin">
        <color indexed="22"/>
      </left>
      <right style="thin"/>
      <top>
        <color indexed="63"/>
      </top>
      <bottom style="thin"/>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10"/>
      </left>
      <right>
        <color indexed="63"/>
      </right>
      <top style="thin">
        <color indexed="10"/>
      </top>
      <bottom style="thin">
        <color indexed="10"/>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style="thin">
        <color indexed="10"/>
      </top>
      <bottom>
        <color indexed="63"/>
      </bottom>
    </border>
    <border>
      <left style="thin">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color indexed="63"/>
      </left>
      <right>
        <color indexed="63"/>
      </right>
      <top style="thin">
        <color indexed="55"/>
      </top>
      <bottom style="thin">
        <color indexed="55"/>
      </bottom>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80" fillId="12"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9" borderId="0" applyNumberFormat="0" applyBorder="0" applyAlignment="0" applyProtection="0"/>
    <xf numFmtId="0" fontId="81" fillId="3" borderId="0" applyNumberFormat="0" applyBorder="0" applyAlignment="0" applyProtection="0"/>
    <xf numFmtId="0" fontId="82" fillId="20" borderId="1" applyNumberFormat="0" applyAlignment="0" applyProtection="0"/>
    <xf numFmtId="0" fontId="8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4"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9" fillId="7" borderId="1" applyNumberFormat="0" applyAlignment="0" applyProtection="0"/>
    <xf numFmtId="0" fontId="90" fillId="0" borderId="6" applyNumberFormat="0" applyFill="0" applyAlignment="0" applyProtection="0"/>
    <xf numFmtId="0" fontId="91" fillId="22"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3" fillId="0" borderId="0">
      <alignment/>
      <protection/>
    </xf>
    <xf numFmtId="0" fontId="3" fillId="0" borderId="0">
      <alignment/>
      <protection/>
    </xf>
    <xf numFmtId="0" fontId="23" fillId="0" borderId="0">
      <alignment/>
      <protection/>
    </xf>
    <xf numFmtId="0" fontId="23" fillId="0" borderId="0">
      <alignment/>
      <protection/>
    </xf>
    <xf numFmtId="0" fontId="79" fillId="23" borderId="7" applyNumberFormat="0" applyFont="0" applyAlignment="0" applyProtection="0"/>
    <xf numFmtId="0" fontId="0" fillId="23" borderId="7" applyNumberFormat="0" applyFont="0" applyAlignment="0" applyProtection="0"/>
    <xf numFmtId="0" fontId="92" fillId="20" borderId="8" applyNumberFormat="0" applyAlignment="0" applyProtection="0"/>
    <xf numFmtId="9" fontId="0" fillId="0" borderId="0" applyFont="0" applyFill="0" applyBorder="0" applyAlignment="0" applyProtection="0"/>
    <xf numFmtId="9" fontId="79" fillId="0" borderId="0" applyFont="0" applyFill="0" applyBorder="0" applyAlignment="0" applyProtection="0"/>
    <xf numFmtId="9" fontId="0" fillId="0" borderId="0" applyFont="0" applyFill="0" applyBorder="0" applyAlignment="0" applyProtection="0"/>
    <xf numFmtId="9" fontId="96" fillId="0" borderId="0">
      <alignment/>
      <protection/>
    </xf>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3127">
    <xf numFmtId="0" fontId="0" fillId="0" borderId="0" xfId="0" applyAlignment="1">
      <alignment/>
    </xf>
    <xf numFmtId="0" fontId="3" fillId="0" borderId="0" xfId="111">
      <alignment/>
      <protection/>
    </xf>
    <xf numFmtId="0" fontId="3" fillId="24" borderId="0" xfId="111" applyFill="1">
      <alignment/>
      <protection/>
    </xf>
    <xf numFmtId="0" fontId="3" fillId="0" borderId="0" xfId="111" applyFont="1">
      <alignment/>
      <protection/>
    </xf>
    <xf numFmtId="0" fontId="0" fillId="25" borderId="0" xfId="89" applyFill="1">
      <alignment/>
      <protection/>
    </xf>
    <xf numFmtId="0" fontId="0" fillId="0" borderId="0" xfId="84">
      <alignment/>
      <protection/>
    </xf>
    <xf numFmtId="172" fontId="0" fillId="0" borderId="0" xfId="84" applyNumberFormat="1">
      <alignment/>
      <protection/>
    </xf>
    <xf numFmtId="49" fontId="30" fillId="26" borderId="0" xfId="84" applyNumberFormat="1" applyFont="1" applyFill="1" applyAlignment="1" applyProtection="1">
      <alignment vertical="center"/>
      <protection/>
    </xf>
    <xf numFmtId="0" fontId="30" fillId="26" borderId="0" xfId="84" applyFont="1" applyFill="1" applyAlignment="1" applyProtection="1">
      <alignment vertical="center"/>
      <protection/>
    </xf>
    <xf numFmtId="0" fontId="3" fillId="26" borderId="0" xfId="84" applyFont="1" applyFill="1" applyAlignment="1" applyProtection="1">
      <alignment vertical="center"/>
      <protection/>
    </xf>
    <xf numFmtId="0" fontId="3" fillId="0" borderId="0" xfId="111" applyFont="1" applyBorder="1" applyAlignment="1" applyProtection="1">
      <alignment horizontal="right"/>
      <protection hidden="1"/>
    </xf>
    <xf numFmtId="173" fontId="15" fillId="0" borderId="0" xfId="81" applyNumberFormat="1" applyFont="1" applyFill="1" applyBorder="1" applyAlignment="1" applyProtection="1">
      <alignment horizontal="center" wrapText="1"/>
      <protection locked="0"/>
    </xf>
    <xf numFmtId="0" fontId="3" fillId="0" borderId="0" xfId="111" applyFill="1">
      <alignment/>
      <protection/>
    </xf>
    <xf numFmtId="0" fontId="3" fillId="7" borderId="0" xfId="84" applyFont="1" applyFill="1" applyAlignment="1" applyProtection="1">
      <alignment/>
      <protection hidden="1"/>
    </xf>
    <xf numFmtId="172" fontId="3" fillId="7" borderId="0" xfId="84" applyNumberFormat="1" applyFont="1" applyFill="1" applyAlignment="1" applyProtection="1">
      <alignment/>
      <protection hidden="1"/>
    </xf>
    <xf numFmtId="0" fontId="3" fillId="4" borderId="0" xfId="84" applyFont="1" applyFill="1" applyAlignment="1" applyProtection="1">
      <alignment/>
      <protection hidden="1"/>
    </xf>
    <xf numFmtId="0" fontId="17" fillId="25" borderId="10" xfId="81" applyFont="1" applyFill="1" applyBorder="1" applyAlignment="1" applyProtection="1">
      <alignment horizontal="centerContinuous"/>
      <protection locked="0"/>
    </xf>
    <xf numFmtId="173" fontId="17" fillId="25" borderId="11" xfId="81" applyNumberFormat="1" applyFont="1" applyFill="1" applyBorder="1" applyAlignment="1" applyProtection="1">
      <alignment horizontal="center" vertical="center" wrapText="1"/>
      <protection hidden="1"/>
    </xf>
    <xf numFmtId="0" fontId="17" fillId="25" borderId="12" xfId="81" applyFont="1" applyFill="1" applyBorder="1" applyAlignment="1" applyProtection="1">
      <alignment horizontal="right"/>
      <protection locked="0"/>
    </xf>
    <xf numFmtId="173" fontId="17" fillId="25" borderId="12" xfId="81" applyNumberFormat="1" applyFont="1" applyFill="1" applyBorder="1" applyAlignment="1" applyProtection="1">
      <alignment horizontal="center"/>
      <protection hidden="1"/>
    </xf>
    <xf numFmtId="0" fontId="0" fillId="0" borderId="0" xfId="89" applyProtection="1">
      <alignment/>
      <protection locked="0"/>
    </xf>
    <xf numFmtId="0" fontId="3" fillId="0" borderId="0" xfId="89" applyFont="1">
      <alignment/>
      <protection/>
    </xf>
    <xf numFmtId="0" fontId="3" fillId="0" borderId="0" xfId="89" applyFont="1">
      <alignment/>
      <protection/>
    </xf>
    <xf numFmtId="0" fontId="0" fillId="0" borderId="0" xfId="89">
      <alignment/>
      <protection/>
    </xf>
    <xf numFmtId="0" fontId="3" fillId="0" borderId="0" xfId="84" applyFont="1">
      <alignment/>
      <protection/>
    </xf>
    <xf numFmtId="172" fontId="24" fillId="22" borderId="0" xfId="84" applyNumberFormat="1" applyFont="1" applyFill="1" applyBorder="1" applyProtection="1">
      <alignment/>
      <protection locked="0"/>
    </xf>
    <xf numFmtId="0" fontId="24" fillId="22" borderId="0" xfId="84" applyFont="1" applyFill="1" applyBorder="1" applyProtection="1">
      <alignment/>
      <protection locked="0"/>
    </xf>
    <xf numFmtId="0" fontId="11" fillId="0" borderId="0" xfId="89" applyFont="1">
      <alignment/>
      <protection/>
    </xf>
    <xf numFmtId="0" fontId="3" fillId="0" borderId="0" xfId="84" applyFont="1" applyProtection="1">
      <alignment/>
      <protection locked="0"/>
    </xf>
    <xf numFmtId="0" fontId="3" fillId="7" borderId="0" xfId="84" applyFont="1" applyFill="1" applyBorder="1" applyAlignment="1" applyProtection="1">
      <alignment horizontal="center"/>
      <protection locked="0"/>
    </xf>
    <xf numFmtId="0" fontId="3" fillId="7" borderId="0" xfId="84" applyFont="1" applyFill="1">
      <alignment/>
      <protection/>
    </xf>
    <xf numFmtId="172" fontId="3" fillId="7" borderId="0" xfId="84" applyNumberFormat="1" applyFont="1" applyFill="1" applyBorder="1" applyAlignment="1" applyProtection="1">
      <alignment horizontal="center"/>
      <protection hidden="1"/>
    </xf>
    <xf numFmtId="0" fontId="3" fillId="4" borderId="0" xfId="84" applyFont="1" applyFill="1" applyBorder="1" applyProtection="1">
      <alignment/>
      <protection hidden="1"/>
    </xf>
    <xf numFmtId="0" fontId="3" fillId="4" borderId="0" xfId="84" applyFont="1" applyFill="1" applyBorder="1" applyAlignment="1" applyProtection="1">
      <alignment horizontal="center"/>
      <protection locked="0"/>
    </xf>
    <xf numFmtId="0" fontId="3" fillId="4" borderId="0" xfId="84" applyFont="1" applyFill="1">
      <alignment/>
      <protection/>
    </xf>
    <xf numFmtId="172" fontId="3" fillId="7" borderId="0" xfId="84" applyNumberFormat="1" applyFont="1" applyFill="1" applyBorder="1">
      <alignment/>
      <protection/>
    </xf>
    <xf numFmtId="0" fontId="3" fillId="4" borderId="0" xfId="84" applyFont="1" applyFill="1" applyBorder="1">
      <alignment/>
      <protection/>
    </xf>
    <xf numFmtId="0" fontId="3" fillId="22" borderId="0" xfId="84" applyFont="1" applyFill="1" applyProtection="1">
      <alignment/>
      <protection locked="0"/>
    </xf>
    <xf numFmtId="172" fontId="3" fillId="7" borderId="0" xfId="84" applyNumberFormat="1" applyFont="1" applyFill="1" applyBorder="1" applyProtection="1">
      <alignment/>
      <protection hidden="1"/>
    </xf>
    <xf numFmtId="2" fontId="11" fillId="0" borderId="0" xfId="89" applyNumberFormat="1" applyFont="1">
      <alignment/>
      <protection/>
    </xf>
    <xf numFmtId="1" fontId="11" fillId="0" borderId="0" xfId="89" applyNumberFormat="1" applyFont="1">
      <alignment/>
      <protection/>
    </xf>
    <xf numFmtId="0" fontId="17" fillId="24" borderId="13" xfId="84" applyFont="1" applyFill="1" applyBorder="1" applyAlignment="1" applyProtection="1">
      <alignment horizontal="centerContinuous"/>
      <protection hidden="1" locked="0"/>
    </xf>
    <xf numFmtId="0" fontId="3" fillId="24" borderId="14" xfId="84" applyFont="1" applyFill="1" applyBorder="1" applyAlignment="1" applyProtection="1">
      <alignment horizontal="centerContinuous"/>
      <protection hidden="1" locked="0"/>
    </xf>
    <xf numFmtId="0" fontId="3" fillId="24" borderId="13" xfId="84" applyFont="1" applyFill="1" applyBorder="1" applyAlignment="1" applyProtection="1">
      <alignment horizontal="centerContinuous"/>
      <protection hidden="1" locked="0"/>
    </xf>
    <xf numFmtId="0" fontId="17" fillId="24" borderId="15" xfId="84" applyFont="1" applyFill="1" applyBorder="1" applyAlignment="1" applyProtection="1">
      <alignment horizontal="left"/>
      <protection hidden="1" locked="0"/>
    </xf>
    <xf numFmtId="0" fontId="7" fillId="24" borderId="14" xfId="84" applyFont="1" applyFill="1" applyBorder="1">
      <alignment/>
      <protection/>
    </xf>
    <xf numFmtId="0" fontId="7" fillId="24" borderId="12" xfId="84" applyFont="1" applyFill="1" applyBorder="1">
      <alignment/>
      <protection/>
    </xf>
    <xf numFmtId="0" fontId="7" fillId="24" borderId="15" xfId="84" applyFont="1" applyFill="1" applyBorder="1">
      <alignment/>
      <protection/>
    </xf>
    <xf numFmtId="0" fontId="3" fillId="24" borderId="0" xfId="84" applyFont="1" applyFill="1" applyBorder="1" applyProtection="1">
      <alignment/>
      <protection locked="0"/>
    </xf>
    <xf numFmtId="0" fontId="3" fillId="24" borderId="16" xfId="84" applyFont="1" applyFill="1" applyBorder="1" applyProtection="1">
      <alignment/>
      <protection locked="0"/>
    </xf>
    <xf numFmtId="0" fontId="3" fillId="22" borderId="0" xfId="84" applyFont="1" applyFill="1" applyBorder="1" applyProtection="1">
      <alignment/>
      <protection locked="0"/>
    </xf>
    <xf numFmtId="0" fontId="0" fillId="0" borderId="0" xfId="84" applyProtection="1">
      <alignment/>
      <protection locked="0"/>
    </xf>
    <xf numFmtId="0" fontId="9" fillId="24" borderId="0" xfId="84" applyFont="1" applyFill="1" applyBorder="1" applyProtection="1">
      <alignment/>
      <protection hidden="1"/>
    </xf>
    <xf numFmtId="0" fontId="3" fillId="0" borderId="0" xfId="84" applyFont="1" applyFill="1" applyBorder="1" applyProtection="1">
      <alignment/>
      <protection hidden="1"/>
    </xf>
    <xf numFmtId="0" fontId="3" fillId="26" borderId="0" xfId="84" applyFont="1" applyFill="1" applyAlignment="1" applyProtection="1">
      <alignment vertical="center"/>
      <protection locked="0"/>
    </xf>
    <xf numFmtId="1" fontId="3" fillId="7" borderId="0" xfId="84" applyNumberFormat="1" applyFont="1" applyFill="1">
      <alignment/>
      <protection/>
    </xf>
    <xf numFmtId="0" fontId="0" fillId="0" borderId="0" xfId="84" applyFill="1" applyBorder="1">
      <alignment/>
      <protection/>
    </xf>
    <xf numFmtId="0" fontId="3" fillId="0" borderId="0" xfId="111" applyFont="1" applyProtection="1">
      <alignment/>
      <protection locked="0"/>
    </xf>
    <xf numFmtId="0" fontId="9" fillId="0" borderId="0" xfId="89" applyFont="1" applyProtection="1">
      <alignment/>
      <protection locked="0"/>
    </xf>
    <xf numFmtId="0" fontId="3" fillId="0" borderId="0" xfId="89" applyFont="1" applyProtection="1">
      <alignment/>
      <protection locked="0"/>
    </xf>
    <xf numFmtId="0" fontId="3" fillId="0" borderId="0" xfId="84" applyFont="1" applyFill="1" applyBorder="1" applyProtection="1">
      <alignment/>
      <protection locked="0"/>
    </xf>
    <xf numFmtId="172" fontId="3" fillId="0" borderId="0" xfId="84" applyNumberFormat="1" applyFont="1" applyFill="1" applyBorder="1" applyProtection="1">
      <alignment/>
      <protection locked="0"/>
    </xf>
    <xf numFmtId="172" fontId="3" fillId="0" borderId="0" xfId="84" applyNumberFormat="1" applyFont="1">
      <alignment/>
      <protection/>
    </xf>
    <xf numFmtId="0" fontId="3" fillId="0" borderId="0" xfId="84" applyFont="1" applyFill="1" applyBorder="1">
      <alignment/>
      <protection/>
    </xf>
    <xf numFmtId="0" fontId="24" fillId="8" borderId="0" xfId="84" applyFont="1" applyFill="1" applyBorder="1" applyProtection="1">
      <alignment/>
      <protection hidden="1"/>
    </xf>
    <xf numFmtId="0" fontId="3" fillId="8" borderId="0" xfId="84" applyFont="1" applyFill="1" applyBorder="1" applyProtection="1">
      <alignment/>
      <protection hidden="1"/>
    </xf>
    <xf numFmtId="0" fontId="3" fillId="8" borderId="0" xfId="84" applyFont="1" applyFill="1" applyProtection="1">
      <alignment/>
      <protection hidden="1"/>
    </xf>
    <xf numFmtId="1" fontId="3" fillId="8" borderId="0" xfId="84" applyNumberFormat="1" applyFont="1" applyFill="1" applyBorder="1" applyProtection="1">
      <alignment/>
      <protection hidden="1"/>
    </xf>
    <xf numFmtId="0" fontId="3" fillId="0" borderId="0" xfId="111" applyFill="1" applyProtection="1">
      <alignment/>
      <protection locked="0"/>
    </xf>
    <xf numFmtId="0" fontId="3" fillId="0" borderId="0" xfId="84" applyFont="1" applyFill="1" applyProtection="1">
      <alignment/>
      <protection locked="0"/>
    </xf>
    <xf numFmtId="1" fontId="3" fillId="22" borderId="0" xfId="84" applyNumberFormat="1" applyFont="1" applyFill="1" applyBorder="1" applyProtection="1">
      <alignment/>
      <protection locked="0"/>
    </xf>
    <xf numFmtId="0" fontId="3" fillId="22" borderId="0" xfId="120" applyFont="1" applyFill="1" applyProtection="1">
      <alignment/>
      <protection locked="0"/>
    </xf>
    <xf numFmtId="1" fontId="3" fillId="22" borderId="0" xfId="84" applyNumberFormat="1" applyFont="1" applyFill="1" applyBorder="1" applyProtection="1">
      <alignment/>
      <protection locked="0"/>
    </xf>
    <xf numFmtId="0" fontId="0" fillId="0" borderId="0" xfId="89" applyFont="1">
      <alignment/>
      <protection/>
    </xf>
    <xf numFmtId="0" fontId="0" fillId="0" borderId="0" xfId="89" applyBorder="1">
      <alignment/>
      <protection/>
    </xf>
    <xf numFmtId="0" fontId="3" fillId="0" borderId="0" xfId="89" applyFont="1" applyFill="1" applyBorder="1" applyProtection="1">
      <alignment/>
      <protection locked="0"/>
    </xf>
    <xf numFmtId="0" fontId="0" fillId="0" borderId="0" xfId="89" applyBorder="1" applyProtection="1">
      <alignment/>
      <protection locked="0"/>
    </xf>
    <xf numFmtId="0" fontId="3" fillId="22" borderId="17" xfId="89" applyFont="1" applyFill="1" applyBorder="1" applyProtection="1">
      <alignment/>
      <protection locked="0"/>
    </xf>
    <xf numFmtId="0" fontId="3" fillId="4" borderId="0" xfId="89" applyFont="1" applyFill="1" applyBorder="1" applyProtection="1">
      <alignment/>
      <protection hidden="1"/>
    </xf>
    <xf numFmtId="0" fontId="33" fillId="4" borderId="0" xfId="89" applyFont="1" applyFill="1" applyBorder="1" applyProtection="1">
      <alignment/>
      <protection hidden="1"/>
    </xf>
    <xf numFmtId="0" fontId="3" fillId="0" borderId="0" xfId="89" applyFont="1" applyProtection="1">
      <alignment/>
      <protection locked="0"/>
    </xf>
    <xf numFmtId="0" fontId="3" fillId="0" borderId="0" xfId="89" applyFont="1" applyBorder="1" applyProtection="1">
      <alignment/>
      <protection locked="0"/>
    </xf>
    <xf numFmtId="0" fontId="0" fillId="0" borderId="0" xfId="89" applyFont="1" applyAlignment="1">
      <alignment horizontal="right"/>
      <protection/>
    </xf>
    <xf numFmtId="0" fontId="9" fillId="4" borderId="0" xfId="89" applyFont="1" applyFill="1" applyBorder="1" applyProtection="1">
      <alignment/>
      <protection hidden="1"/>
    </xf>
    <xf numFmtId="0" fontId="0" fillId="0" borderId="0" xfId="89" applyFill="1">
      <alignment/>
      <protection/>
    </xf>
    <xf numFmtId="179" fontId="9" fillId="4" borderId="0" xfId="89" applyNumberFormat="1" applyFont="1" applyFill="1" applyBorder="1" applyProtection="1">
      <alignment/>
      <protection hidden="1"/>
    </xf>
    <xf numFmtId="0" fontId="17" fillId="24" borderId="13" xfId="89" applyFont="1" applyFill="1" applyBorder="1" applyAlignment="1" applyProtection="1">
      <alignment horizontal="centerContinuous"/>
      <protection locked="0"/>
    </xf>
    <xf numFmtId="0" fontId="3" fillId="24" borderId="13" xfId="89" applyFont="1" applyFill="1" applyBorder="1" applyAlignment="1" applyProtection="1">
      <alignment horizontal="centerContinuous"/>
      <protection locked="0"/>
    </xf>
    <xf numFmtId="0" fontId="17" fillId="24" borderId="13" xfId="89" applyFont="1" applyFill="1" applyBorder="1" applyAlignment="1" applyProtection="1">
      <alignment horizontal="left"/>
      <protection locked="0"/>
    </xf>
    <xf numFmtId="0" fontId="3" fillId="0" borderId="13" xfId="89" applyFont="1" applyFill="1" applyBorder="1" applyAlignment="1" applyProtection="1">
      <alignment horizontal="centerContinuous"/>
      <protection locked="0"/>
    </xf>
    <xf numFmtId="0" fontId="3" fillId="24" borderId="0" xfId="89" applyFont="1" applyFill="1" applyBorder="1" applyProtection="1">
      <alignment/>
      <protection locked="0"/>
    </xf>
    <xf numFmtId="1" fontId="3" fillId="4" borderId="0" xfId="89" applyNumberFormat="1" applyFont="1" applyFill="1" applyBorder="1" applyProtection="1">
      <alignment/>
      <protection hidden="1" locked="0"/>
    </xf>
    <xf numFmtId="0" fontId="3" fillId="4" borderId="0" xfId="89" applyFont="1" applyFill="1" applyBorder="1" applyProtection="1">
      <alignment/>
      <protection hidden="1" locked="0"/>
    </xf>
    <xf numFmtId="0" fontId="3" fillId="24" borderId="16" xfId="89" applyFont="1" applyFill="1" applyBorder="1" applyProtection="1">
      <alignment/>
      <protection hidden="1" locked="0"/>
    </xf>
    <xf numFmtId="0" fontId="3" fillId="24" borderId="18" xfId="89" applyFont="1" applyFill="1" applyBorder="1" applyProtection="1">
      <alignment/>
      <protection hidden="1" locked="0"/>
    </xf>
    <xf numFmtId="0" fontId="3" fillId="24" borderId="0" xfId="89" applyFont="1" applyFill="1" applyBorder="1" applyProtection="1">
      <alignment/>
      <protection hidden="1" locked="0"/>
    </xf>
    <xf numFmtId="0" fontId="3" fillId="22" borderId="11" xfId="89" applyFont="1" applyFill="1" applyBorder="1" applyProtection="1">
      <alignment/>
      <protection locked="0"/>
    </xf>
    <xf numFmtId="0" fontId="9" fillId="24" borderId="0" xfId="89" applyFont="1" applyFill="1" applyBorder="1" applyProtection="1">
      <alignment/>
      <protection locked="0"/>
    </xf>
    <xf numFmtId="1" fontId="3" fillId="4" borderId="16" xfId="89" applyNumberFormat="1" applyFont="1" applyFill="1" applyBorder="1" applyProtection="1">
      <alignment/>
      <protection hidden="1"/>
    </xf>
    <xf numFmtId="0" fontId="3" fillId="22" borderId="16" xfId="89" applyFont="1" applyFill="1" applyBorder="1" applyProtection="1">
      <alignment/>
      <protection locked="0"/>
    </xf>
    <xf numFmtId="0" fontId="3" fillId="22" borderId="0" xfId="89" applyFont="1" applyFill="1" applyBorder="1" applyProtection="1">
      <alignment/>
      <protection locked="0"/>
    </xf>
    <xf numFmtId="0" fontId="33" fillId="24" borderId="0" xfId="89" applyFont="1" applyFill="1" applyBorder="1" applyProtection="1">
      <alignment/>
      <protection locked="0"/>
    </xf>
    <xf numFmtId="0" fontId="33" fillId="0" borderId="0" xfId="89" applyFont="1" applyFill="1" applyBorder="1" applyProtection="1">
      <alignment/>
      <protection locked="0"/>
    </xf>
    <xf numFmtId="0" fontId="3" fillId="24" borderId="16" xfId="89" applyFont="1" applyFill="1" applyBorder="1" applyProtection="1">
      <alignment/>
      <protection hidden="1"/>
    </xf>
    <xf numFmtId="0" fontId="3" fillId="24" borderId="18" xfId="89" applyFont="1" applyFill="1" applyBorder="1" applyProtection="1">
      <alignment/>
      <protection hidden="1"/>
    </xf>
    <xf numFmtId="0" fontId="3" fillId="24" borderId="0" xfId="89" applyFont="1" applyFill="1" applyBorder="1" applyProtection="1">
      <alignment/>
      <protection hidden="1"/>
    </xf>
    <xf numFmtId="2" fontId="3" fillId="4" borderId="0" xfId="89" applyNumberFormat="1" applyFont="1" applyFill="1" applyBorder="1" applyProtection="1">
      <alignment/>
      <protection hidden="1"/>
    </xf>
    <xf numFmtId="0" fontId="3" fillId="25" borderId="0" xfId="89" applyFont="1" applyFill="1" applyBorder="1" applyProtection="1">
      <alignment/>
      <protection hidden="1"/>
    </xf>
    <xf numFmtId="0" fontId="3" fillId="25" borderId="0" xfId="89" applyFont="1" applyFill="1">
      <alignment/>
      <protection/>
    </xf>
    <xf numFmtId="0" fontId="0" fillId="25" borderId="0" xfId="89" applyFill="1" applyBorder="1">
      <alignment/>
      <protection/>
    </xf>
    <xf numFmtId="0" fontId="3" fillId="25" borderId="0" xfId="89" applyFont="1" applyFill="1" applyBorder="1" applyAlignment="1" applyProtection="1">
      <alignment horizontal="right"/>
      <protection hidden="1"/>
    </xf>
    <xf numFmtId="0" fontId="3" fillId="25" borderId="0" xfId="89" applyFont="1" applyFill="1">
      <alignment/>
      <protection/>
    </xf>
    <xf numFmtId="0" fontId="3" fillId="25" borderId="0" xfId="89" applyFont="1" applyFill="1" applyBorder="1" applyAlignment="1" applyProtection="1">
      <alignment horizontal="center"/>
      <protection hidden="1"/>
    </xf>
    <xf numFmtId="0" fontId="3" fillId="25" borderId="0" xfId="89" applyFont="1" applyFill="1" applyProtection="1">
      <alignment/>
      <protection hidden="1"/>
    </xf>
    <xf numFmtId="0" fontId="3" fillId="25" borderId="0" xfId="84" applyFont="1" applyFill="1" applyBorder="1" applyProtection="1">
      <alignment/>
      <protection hidden="1"/>
    </xf>
    <xf numFmtId="0" fontId="0" fillId="0" borderId="0" xfId="89" applyFill="1" applyProtection="1">
      <alignment/>
      <protection locked="0"/>
    </xf>
    <xf numFmtId="1" fontId="3" fillId="22" borderId="0" xfId="89" applyNumberFormat="1" applyFont="1" applyFill="1" applyBorder="1" applyProtection="1">
      <alignment/>
      <protection locked="0"/>
    </xf>
    <xf numFmtId="0" fontId="0" fillId="0" borderId="0" xfId="89" applyFont="1" applyProtection="1">
      <alignment/>
      <protection locked="0"/>
    </xf>
    <xf numFmtId="0" fontId="0" fillId="0" borderId="0" xfId="89" applyProtection="1">
      <alignment/>
      <protection hidden="1"/>
    </xf>
    <xf numFmtId="0" fontId="0" fillId="0" borderId="0" xfId="89" applyProtection="1">
      <alignment/>
      <protection/>
    </xf>
    <xf numFmtId="0" fontId="27" fillId="0" borderId="0" xfId="89" applyFont="1" applyFill="1">
      <alignment/>
      <protection/>
    </xf>
    <xf numFmtId="0" fontId="0" fillId="0" borderId="0" xfId="89" applyFont="1" applyBorder="1" applyProtection="1">
      <alignment/>
      <protection/>
    </xf>
    <xf numFmtId="0" fontId="37" fillId="0" borderId="0" xfId="89" applyFont="1" applyFill="1" applyBorder="1" applyAlignment="1" applyProtection="1">
      <alignment horizontal="center"/>
      <protection/>
    </xf>
    <xf numFmtId="0" fontId="5" fillId="0" borderId="0" xfId="84" applyFont="1" applyAlignment="1" applyProtection="1">
      <alignment horizontal="center"/>
      <protection locked="0"/>
    </xf>
    <xf numFmtId="172" fontId="3" fillId="22" borderId="0" xfId="89" applyNumberFormat="1" applyFont="1" applyFill="1" applyBorder="1" applyProtection="1">
      <alignment/>
      <protection locked="0"/>
    </xf>
    <xf numFmtId="0" fontId="11" fillId="0" borderId="0" xfId="89" applyFont="1" applyProtection="1">
      <alignment/>
      <protection locked="0"/>
    </xf>
    <xf numFmtId="0" fontId="10" fillId="0" borderId="0" xfId="89" applyFont="1" applyProtection="1">
      <alignment/>
      <protection locked="0"/>
    </xf>
    <xf numFmtId="1" fontId="3" fillId="0" borderId="0" xfId="89" applyNumberFormat="1" applyFont="1" applyProtection="1">
      <alignment/>
      <protection locked="0"/>
    </xf>
    <xf numFmtId="14" fontId="4" fillId="0" borderId="0" xfId="84" applyNumberFormat="1" applyFont="1" applyAlignment="1">
      <alignment horizontal="right"/>
      <protection/>
    </xf>
    <xf numFmtId="1" fontId="9" fillId="0" borderId="0" xfId="89" applyNumberFormat="1" applyFont="1" applyFill="1" applyAlignment="1" applyProtection="1">
      <alignment/>
      <protection locked="0"/>
    </xf>
    <xf numFmtId="1" fontId="3" fillId="0" borderId="0" xfId="89" applyNumberFormat="1" applyFont="1" applyFill="1" applyProtection="1">
      <alignment/>
      <protection locked="0"/>
    </xf>
    <xf numFmtId="1" fontId="3" fillId="22" borderId="0" xfId="89" applyNumberFormat="1" applyFont="1" applyFill="1" applyProtection="1">
      <alignment/>
      <protection locked="0"/>
    </xf>
    <xf numFmtId="0" fontId="3" fillId="0" borderId="0" xfId="89" applyFont="1" applyBorder="1" applyProtection="1">
      <alignment/>
      <protection locked="0"/>
    </xf>
    <xf numFmtId="0" fontId="3" fillId="0" borderId="16" xfId="89" applyFont="1" applyBorder="1" applyProtection="1">
      <alignment/>
      <protection locked="0"/>
    </xf>
    <xf numFmtId="0" fontId="9" fillId="0" borderId="0" xfId="89" applyFont="1" applyFill="1" applyBorder="1" applyAlignment="1" applyProtection="1">
      <alignment horizontal="left"/>
      <protection locked="0"/>
    </xf>
    <xf numFmtId="0" fontId="9" fillId="0" borderId="0" xfId="84" applyFont="1" applyFill="1" applyBorder="1" applyAlignment="1" applyProtection="1">
      <alignment horizontal="left"/>
      <protection locked="0"/>
    </xf>
    <xf numFmtId="173" fontId="0" fillId="0" borderId="0" xfId="84" applyNumberFormat="1" applyFill="1" applyBorder="1">
      <alignment/>
      <protection/>
    </xf>
    <xf numFmtId="0" fontId="0" fillId="0" borderId="0" xfId="84" applyFont="1" applyFill="1" applyBorder="1">
      <alignment/>
      <protection/>
    </xf>
    <xf numFmtId="0" fontId="36" fillId="0" borderId="11" xfId="0" applyFont="1" applyBorder="1" applyAlignment="1" applyProtection="1">
      <alignment/>
      <protection hidden="1"/>
    </xf>
    <xf numFmtId="0" fontId="36" fillId="0" borderId="17" xfId="0" applyFont="1" applyBorder="1" applyAlignment="1" applyProtection="1">
      <alignment/>
      <protection hidden="1"/>
    </xf>
    <xf numFmtId="0" fontId="34" fillId="24" borderId="12" xfId="84" applyFont="1" applyFill="1" applyBorder="1" applyAlignment="1">
      <alignment horizontal="centerContinuous"/>
      <protection/>
    </xf>
    <xf numFmtId="0" fontId="3" fillId="24" borderId="0" xfId="111" applyFill="1" applyAlignment="1">
      <alignment horizontal="centerContinuous"/>
      <protection/>
    </xf>
    <xf numFmtId="0" fontId="7" fillId="24" borderId="19" xfId="84" applyFont="1" applyFill="1" applyBorder="1">
      <alignment/>
      <protection/>
    </xf>
    <xf numFmtId="0" fontId="7" fillId="0" borderId="0" xfId="84" applyFont="1" applyAlignment="1">
      <alignment horizontal="right"/>
      <protection/>
    </xf>
    <xf numFmtId="0" fontId="10" fillId="0" borderId="17" xfId="111" applyFont="1" applyFill="1" applyBorder="1" applyAlignment="1" applyProtection="1">
      <alignment horizontal="center"/>
      <protection hidden="1"/>
    </xf>
    <xf numFmtId="0" fontId="10" fillId="0" borderId="17" xfId="111" applyFont="1" applyBorder="1" applyAlignment="1">
      <alignment horizontal="center"/>
      <protection/>
    </xf>
    <xf numFmtId="0" fontId="10" fillId="0" borderId="12" xfId="111" applyFont="1" applyFill="1" applyBorder="1" applyAlignment="1" applyProtection="1">
      <alignment horizontal="center"/>
      <protection hidden="1"/>
    </xf>
    <xf numFmtId="0" fontId="36" fillId="25" borderId="11" xfId="0" applyFont="1" applyFill="1" applyBorder="1" applyAlignment="1" applyProtection="1">
      <alignment/>
      <protection hidden="1"/>
    </xf>
    <xf numFmtId="0" fontId="36" fillId="25" borderId="17" xfId="0" applyFont="1" applyFill="1" applyBorder="1" applyAlignment="1" applyProtection="1">
      <alignment/>
      <protection hidden="1"/>
    </xf>
    <xf numFmtId="0" fontId="8" fillId="25" borderId="17" xfId="111" applyFont="1" applyFill="1" applyBorder="1" applyAlignment="1" applyProtection="1">
      <alignment horizontal="center"/>
      <protection hidden="1"/>
    </xf>
    <xf numFmtId="0" fontId="8" fillId="25" borderId="12" xfId="111" applyFont="1" applyFill="1" applyBorder="1" applyAlignment="1" applyProtection="1">
      <alignment horizontal="center"/>
      <protection hidden="1"/>
    </xf>
    <xf numFmtId="0" fontId="18" fillId="25" borderId="0" xfId="65" applyFont="1" applyFill="1" applyAlignment="1" applyProtection="1">
      <alignment horizontal="left"/>
      <protection hidden="1"/>
    </xf>
    <xf numFmtId="0" fontId="18" fillId="25" borderId="0" xfId="65" applyFont="1" applyFill="1" applyAlignment="1" applyProtection="1">
      <alignment horizontal="right"/>
      <protection hidden="1"/>
    </xf>
    <xf numFmtId="0" fontId="0" fillId="25" borderId="0" xfId="89" applyFill="1" applyProtection="1">
      <alignment/>
      <protection hidden="1"/>
    </xf>
    <xf numFmtId="172" fontId="3" fillId="25" borderId="19" xfId="81" applyNumberFormat="1" applyFont="1" applyFill="1" applyBorder="1" applyAlignment="1" applyProtection="1">
      <alignment horizontal="center" wrapText="1"/>
      <protection locked="0"/>
    </xf>
    <xf numFmtId="2" fontId="3" fillId="25" borderId="19" xfId="81" applyNumberFormat="1" applyFont="1" applyFill="1" applyBorder="1" applyAlignment="1" applyProtection="1">
      <alignment horizontal="center" wrapText="1"/>
      <protection/>
    </xf>
    <xf numFmtId="0" fontId="3" fillId="25" borderId="0" xfId="89" applyFont="1" applyFill="1" applyBorder="1" applyProtection="1">
      <alignment/>
      <protection locked="0"/>
    </xf>
    <xf numFmtId="2" fontId="3" fillId="0" borderId="0" xfId="111" applyNumberFormat="1" applyFont="1" applyBorder="1" applyProtection="1">
      <alignment/>
      <protection locked="0"/>
    </xf>
    <xf numFmtId="0" fontId="3" fillId="22" borderId="0" xfId="89" applyFont="1" applyFill="1" applyProtection="1">
      <alignment/>
      <protection locked="0"/>
    </xf>
    <xf numFmtId="0" fontId="3" fillId="22" borderId="0" xfId="111" applyFont="1" applyFill="1" applyProtection="1">
      <alignment/>
      <protection locked="0"/>
    </xf>
    <xf numFmtId="0" fontId="3" fillId="22" borderId="0" xfId="0" applyFont="1" applyFill="1" applyAlignment="1" applyProtection="1">
      <alignment/>
      <protection locked="0"/>
    </xf>
    <xf numFmtId="0" fontId="3" fillId="0" borderId="16" xfId="111" applyFont="1" applyBorder="1" applyProtection="1">
      <alignment/>
      <protection locked="0"/>
    </xf>
    <xf numFmtId="0" fontId="0" fillId="25" borderId="0" xfId="89" applyFill="1" applyBorder="1" applyProtection="1">
      <alignment/>
      <protection locked="0"/>
    </xf>
    <xf numFmtId="0" fontId="3" fillId="25" borderId="0" xfId="111" applyFill="1" applyBorder="1" applyAlignment="1" applyProtection="1">
      <alignment horizontal="right"/>
      <protection hidden="1"/>
    </xf>
    <xf numFmtId="0" fontId="3" fillId="25" borderId="0" xfId="89" applyFont="1" applyFill="1" applyAlignment="1">
      <alignment horizontal="centerContinuous" wrapText="1"/>
      <protection/>
    </xf>
    <xf numFmtId="0" fontId="0" fillId="25" borderId="0" xfId="89" applyFont="1" applyFill="1" applyAlignment="1">
      <alignment horizontal="centerContinuous" wrapText="1"/>
      <protection/>
    </xf>
    <xf numFmtId="0" fontId="0" fillId="25" borderId="0" xfId="89" applyFill="1" applyAlignment="1">
      <alignment horizontal="centerContinuous"/>
      <protection/>
    </xf>
    <xf numFmtId="0" fontId="9" fillId="25" borderId="0" xfId="84" applyFont="1" applyFill="1" applyAlignment="1" applyProtection="1">
      <alignment vertical="center"/>
      <protection/>
    </xf>
    <xf numFmtId="0" fontId="3" fillId="25" borderId="0" xfId="84" applyFont="1" applyFill="1" applyAlignment="1" applyProtection="1">
      <alignment vertical="center"/>
      <protection/>
    </xf>
    <xf numFmtId="0" fontId="0" fillId="25" borderId="0" xfId="84" applyFill="1">
      <alignment/>
      <protection/>
    </xf>
    <xf numFmtId="0" fontId="3" fillId="25" borderId="0" xfId="84" applyFont="1" applyFill="1" applyAlignment="1" applyProtection="1">
      <alignment horizontal="center" vertical="center"/>
      <protection/>
    </xf>
    <xf numFmtId="0" fontId="0" fillId="25" borderId="0" xfId="89" applyFont="1" applyFill="1">
      <alignment/>
      <protection/>
    </xf>
    <xf numFmtId="0" fontId="0" fillId="25" borderId="0" xfId="89" applyFill="1" applyAlignment="1">
      <alignment horizontal="left"/>
      <protection/>
    </xf>
    <xf numFmtId="0" fontId="29" fillId="25" borderId="0" xfId="84" applyFont="1" applyFill="1" applyBorder="1" applyAlignment="1" applyProtection="1">
      <alignment/>
      <protection/>
    </xf>
    <xf numFmtId="0" fontId="3" fillId="25" borderId="0" xfId="84" applyFont="1" applyFill="1" applyAlignment="1" applyProtection="1">
      <alignment horizontal="centerContinuous"/>
      <protection/>
    </xf>
    <xf numFmtId="0" fontId="5" fillId="25" borderId="0" xfId="97" applyFont="1" applyFill="1" applyAlignment="1" applyProtection="1">
      <alignment horizontal="right"/>
      <protection/>
    </xf>
    <xf numFmtId="0" fontId="25" fillId="25" borderId="20" xfId="89" applyFont="1" applyFill="1" applyBorder="1">
      <alignment/>
      <protection/>
    </xf>
    <xf numFmtId="0" fontId="3" fillId="25" borderId="19" xfId="89" applyFont="1" applyFill="1" applyBorder="1" applyAlignment="1">
      <alignment horizontal="center"/>
      <protection/>
    </xf>
    <xf numFmtId="0" fontId="3" fillId="25" borderId="21" xfId="89" applyFont="1" applyFill="1" applyBorder="1" applyAlignment="1">
      <alignment horizontal="center"/>
      <protection/>
    </xf>
    <xf numFmtId="1" fontId="3" fillId="25" borderId="18" xfId="89" applyNumberFormat="1" applyFont="1" applyFill="1" applyBorder="1" applyProtection="1">
      <alignment/>
      <protection hidden="1"/>
    </xf>
    <xf numFmtId="49" fontId="3" fillId="25" borderId="20" xfId="81" applyNumberFormat="1" applyFont="1" applyFill="1" applyBorder="1" applyAlignment="1" applyProtection="1">
      <alignment horizontal="left"/>
      <protection locked="0"/>
    </xf>
    <xf numFmtId="0" fontId="0" fillId="25" borderId="0" xfId="89" applyFont="1" applyFill="1" applyBorder="1" applyProtection="1">
      <alignment/>
      <protection locked="0"/>
    </xf>
    <xf numFmtId="0" fontId="3" fillId="25" borderId="0" xfId="95" applyFont="1" applyFill="1" applyBorder="1" applyAlignment="1" applyProtection="1">
      <alignment horizontal="center"/>
      <protection hidden="1"/>
    </xf>
    <xf numFmtId="0" fontId="3" fillId="25" borderId="0" xfId="95" applyFont="1" applyFill="1" applyBorder="1" applyProtection="1">
      <alignment/>
      <protection hidden="1"/>
    </xf>
    <xf numFmtId="0" fontId="3" fillId="25" borderId="0" xfId="111" applyFont="1" applyFill="1">
      <alignment/>
      <protection/>
    </xf>
    <xf numFmtId="0" fontId="3" fillId="25" borderId="0" xfId="111" applyFill="1">
      <alignment/>
      <protection/>
    </xf>
    <xf numFmtId="0" fontId="3" fillId="25" borderId="0" xfId="111" applyFont="1" applyFill="1" applyBorder="1" applyProtection="1">
      <alignment/>
      <protection hidden="1"/>
    </xf>
    <xf numFmtId="172" fontId="3" fillId="25" borderId="0" xfId="89" applyNumberFormat="1" applyFont="1" applyFill="1" applyBorder="1" applyProtection="1">
      <alignment/>
      <protection hidden="1"/>
    </xf>
    <xf numFmtId="0" fontId="3" fillId="25" borderId="19" xfId="89" applyFont="1" applyFill="1" applyBorder="1" applyAlignment="1">
      <alignment horizontal="center"/>
      <protection/>
    </xf>
    <xf numFmtId="0" fontId="3" fillId="25" borderId="19" xfId="95" applyFont="1" applyFill="1" applyBorder="1" applyAlignment="1">
      <alignment horizontal="center"/>
      <protection/>
    </xf>
    <xf numFmtId="2" fontId="3" fillId="25" borderId="19" xfId="95" applyNumberFormat="1" applyFont="1" applyFill="1" applyBorder="1" applyAlignment="1" applyProtection="1">
      <alignment horizontal="center"/>
      <protection hidden="1"/>
    </xf>
    <xf numFmtId="0" fontId="3" fillId="25" borderId="19" xfId="95" applyFont="1" applyFill="1" applyBorder="1" applyAlignment="1">
      <alignment horizontal="center"/>
      <protection/>
    </xf>
    <xf numFmtId="2" fontId="3" fillId="25" borderId="19" xfId="89" applyNumberFormat="1" applyFont="1" applyFill="1" applyBorder="1" applyAlignment="1" applyProtection="1">
      <alignment horizontal="center"/>
      <protection hidden="1"/>
    </xf>
    <xf numFmtId="2" fontId="3" fillId="25" borderId="19" xfId="95" applyNumberFormat="1" applyFont="1" applyFill="1" applyBorder="1" applyAlignment="1" applyProtection="1">
      <alignment horizontal="center"/>
      <protection hidden="1"/>
    </xf>
    <xf numFmtId="0" fontId="3" fillId="25" borderId="19" xfId="89" applyFont="1" applyFill="1" applyBorder="1" applyAlignment="1" applyProtection="1">
      <alignment horizontal="center"/>
      <protection/>
    </xf>
    <xf numFmtId="173" fontId="3" fillId="25" borderId="19" xfId="89" applyNumberFormat="1" applyFont="1" applyFill="1" applyBorder="1" applyAlignment="1" applyProtection="1">
      <alignment horizontal="center"/>
      <protection hidden="1"/>
    </xf>
    <xf numFmtId="0" fontId="3" fillId="25" borderId="19" xfId="89" applyFont="1" applyFill="1" applyBorder="1" applyAlignment="1" applyProtection="1">
      <alignment horizontal="center"/>
      <protection hidden="1"/>
    </xf>
    <xf numFmtId="0" fontId="8" fillId="25" borderId="0" xfId="89" applyNumberFormat="1" applyFont="1" applyFill="1" applyBorder="1" applyAlignment="1">
      <alignment vertical="center" wrapText="1"/>
      <protection/>
    </xf>
    <xf numFmtId="0" fontId="10" fillId="25" borderId="0" xfId="89" applyFont="1" applyFill="1" applyBorder="1" applyAlignment="1" applyProtection="1">
      <alignment horizontal="left"/>
      <protection hidden="1"/>
    </xf>
    <xf numFmtId="0" fontId="3" fillId="25" borderId="0" xfId="89" applyFont="1" applyFill="1" applyBorder="1" applyProtection="1">
      <alignment/>
      <protection hidden="1"/>
    </xf>
    <xf numFmtId="1" fontId="3" fillId="25" borderId="0" xfId="89" applyNumberFormat="1" applyFont="1" applyFill="1" applyBorder="1" applyProtection="1">
      <alignment/>
      <protection hidden="1"/>
    </xf>
    <xf numFmtId="0" fontId="0" fillId="25" borderId="0" xfId="89" applyFill="1" applyProtection="1">
      <alignment/>
      <protection/>
    </xf>
    <xf numFmtId="0" fontId="0" fillId="25" borderId="0" xfId="89" applyFont="1" applyFill="1" applyBorder="1" applyProtection="1">
      <alignment/>
      <protection/>
    </xf>
    <xf numFmtId="0" fontId="3" fillId="25" borderId="0" xfId="89" applyFont="1" applyFill="1" applyBorder="1" applyProtection="1">
      <alignment/>
      <protection/>
    </xf>
    <xf numFmtId="0" fontId="11" fillId="25" borderId="0" xfId="89" applyFont="1" applyFill="1" applyBorder="1" applyAlignment="1" applyProtection="1">
      <alignment horizontal="right"/>
      <protection/>
    </xf>
    <xf numFmtId="0" fontId="0" fillId="25" borderId="0" xfId="84" applyFill="1" applyAlignment="1">
      <alignment horizontal="centerContinuous"/>
      <protection/>
    </xf>
    <xf numFmtId="0" fontId="28" fillId="25" borderId="0" xfId="84" applyFont="1" applyFill="1" applyAlignment="1" applyProtection="1">
      <alignment horizontal="centerContinuous" wrapText="1" readingOrder="1"/>
      <protection/>
    </xf>
    <xf numFmtId="0" fontId="18" fillId="25" borderId="0" xfId="65" applyFont="1" applyFill="1" applyAlignment="1" applyProtection="1">
      <alignment horizontal="center"/>
      <protection hidden="1"/>
    </xf>
    <xf numFmtId="0" fontId="5" fillId="25" borderId="0" xfId="84" applyFont="1" applyFill="1" applyAlignment="1" applyProtection="1">
      <alignment horizontal="right"/>
      <protection/>
    </xf>
    <xf numFmtId="0" fontId="17" fillId="25" borderId="0" xfId="84" applyFont="1" applyFill="1" applyAlignment="1" applyProtection="1">
      <alignment horizontal="centerContinuous" wrapText="1"/>
      <protection hidden="1"/>
    </xf>
    <xf numFmtId="0" fontId="3" fillId="25" borderId="0" xfId="84" applyFont="1" applyFill="1" applyAlignment="1" applyProtection="1">
      <alignment horizontal="centerContinuous"/>
      <protection hidden="1"/>
    </xf>
    <xf numFmtId="0" fontId="3" fillId="25" borderId="0" xfId="84" applyFont="1" applyFill="1" applyProtection="1">
      <alignment/>
      <protection locked="0"/>
    </xf>
    <xf numFmtId="0" fontId="3" fillId="25" borderId="0" xfId="84" applyFont="1" applyFill="1">
      <alignment/>
      <protection/>
    </xf>
    <xf numFmtId="0" fontId="3" fillId="25" borderId="0" xfId="84" applyFont="1" applyFill="1" applyProtection="1">
      <alignment/>
      <protection locked="0"/>
    </xf>
    <xf numFmtId="172" fontId="3" fillId="25" borderId="0" xfId="84" applyNumberFormat="1" applyFont="1" applyFill="1" applyProtection="1">
      <alignment/>
      <protection locked="0"/>
    </xf>
    <xf numFmtId="0" fontId="0" fillId="25" borderId="0" xfId="84" applyFill="1" applyProtection="1">
      <alignment/>
      <protection locked="0"/>
    </xf>
    <xf numFmtId="0" fontId="3" fillId="25" borderId="0" xfId="84" applyFont="1" applyFill="1" applyBorder="1" applyAlignment="1" applyProtection="1">
      <alignment horizontal="right"/>
      <protection hidden="1"/>
    </xf>
    <xf numFmtId="0" fontId="3" fillId="25" borderId="0" xfId="84" applyFont="1" applyFill="1" applyProtection="1">
      <alignment/>
      <protection/>
    </xf>
    <xf numFmtId="0" fontId="0" fillId="25" borderId="0" xfId="84" applyFill="1" applyProtection="1">
      <alignment/>
      <protection hidden="1"/>
    </xf>
    <xf numFmtId="0" fontId="3" fillId="25" borderId="0" xfId="84" applyFont="1" applyFill="1" applyBorder="1" applyProtection="1">
      <alignment/>
      <protection hidden="1"/>
    </xf>
    <xf numFmtId="0" fontId="18" fillId="25" borderId="0" xfId="65" applyFont="1" applyFill="1" applyBorder="1" applyAlignment="1" applyProtection="1">
      <alignment horizontal="left"/>
      <protection hidden="1"/>
    </xf>
    <xf numFmtId="0" fontId="3" fillId="25" borderId="0" xfId="111" applyFill="1" applyAlignment="1">
      <alignment/>
      <protection/>
    </xf>
    <xf numFmtId="0" fontId="3" fillId="25" borderId="0" xfId="111" applyFill="1" applyProtection="1">
      <alignment/>
      <protection hidden="1"/>
    </xf>
    <xf numFmtId="0" fontId="9" fillId="25" borderId="0" xfId="89" applyFont="1" applyFill="1" applyBorder="1" applyAlignment="1" applyProtection="1">
      <alignment horizontal="right"/>
      <protection hidden="1"/>
    </xf>
    <xf numFmtId="0" fontId="3" fillId="25" borderId="21" xfId="95" applyFont="1" applyFill="1" applyBorder="1" applyAlignment="1" applyProtection="1">
      <alignment horizontal="center"/>
      <protection/>
    </xf>
    <xf numFmtId="0" fontId="3" fillId="25" borderId="19" xfId="95" applyFont="1" applyFill="1" applyBorder="1" applyAlignment="1" applyProtection="1">
      <alignment horizontal="center"/>
      <protection/>
    </xf>
    <xf numFmtId="2" fontId="3" fillId="25" borderId="19" xfId="89" applyNumberFormat="1" applyFont="1" applyFill="1" applyBorder="1" applyAlignment="1">
      <alignment horizontal="center"/>
      <protection/>
    </xf>
    <xf numFmtId="4" fontId="3" fillId="25" borderId="19" xfId="89" applyNumberFormat="1" applyFont="1" applyFill="1" applyBorder="1" applyAlignment="1">
      <alignment horizontal="center"/>
      <protection/>
    </xf>
    <xf numFmtId="0" fontId="24" fillId="25" borderId="0" xfId="84" applyFont="1" applyFill="1" applyBorder="1" applyAlignment="1" applyProtection="1">
      <alignment horizontal="right"/>
      <protection hidden="1"/>
    </xf>
    <xf numFmtId="0" fontId="24" fillId="25" borderId="0" xfId="84" applyFont="1" applyFill="1" applyBorder="1" applyAlignment="1">
      <alignment horizontal="right"/>
      <protection/>
    </xf>
    <xf numFmtId="0" fontId="3" fillId="25" borderId="0" xfId="84" applyFont="1" applyFill="1" applyAlignment="1" applyProtection="1">
      <alignment horizontal="right"/>
      <protection hidden="1"/>
    </xf>
    <xf numFmtId="0" fontId="0" fillId="25" borderId="0" xfId="0" applyFill="1" applyAlignment="1" applyProtection="1">
      <alignment/>
      <protection hidden="1"/>
    </xf>
    <xf numFmtId="0" fontId="0" fillId="25" borderId="0" xfId="84" applyFill="1" applyBorder="1" applyAlignment="1" applyProtection="1">
      <alignment/>
      <protection hidden="1"/>
    </xf>
    <xf numFmtId="0" fontId="3" fillId="25" borderId="0" xfId="84" applyFont="1" applyFill="1" applyBorder="1" applyAlignment="1">
      <alignment/>
      <protection/>
    </xf>
    <xf numFmtId="0" fontId="3" fillId="25" borderId="0" xfId="84" applyFont="1" applyFill="1" applyBorder="1" applyAlignment="1" applyProtection="1">
      <alignment/>
      <protection hidden="1"/>
    </xf>
    <xf numFmtId="1" fontId="3" fillId="25" borderId="0" xfId="84" applyNumberFormat="1" applyFont="1" applyFill="1" applyBorder="1" applyAlignment="1" applyProtection="1">
      <alignment/>
      <protection hidden="1"/>
    </xf>
    <xf numFmtId="0" fontId="3" fillId="25" borderId="0" xfId="84" applyFont="1" applyFill="1" applyAlignment="1" applyProtection="1">
      <alignment/>
      <protection hidden="1"/>
    </xf>
    <xf numFmtId="1" fontId="3" fillId="25" borderId="0" xfId="84" applyNumberFormat="1" applyFont="1" applyFill="1" applyAlignment="1" applyProtection="1">
      <alignment/>
      <protection hidden="1"/>
    </xf>
    <xf numFmtId="0" fontId="0" fillId="25" borderId="0" xfId="84" applyFill="1" applyAlignment="1" applyProtection="1">
      <alignment/>
      <protection hidden="1"/>
    </xf>
    <xf numFmtId="2" fontId="3" fillId="25" borderId="0" xfId="105" applyNumberFormat="1" applyFont="1" applyFill="1" applyBorder="1" applyAlignment="1" applyProtection="1">
      <alignment/>
      <protection hidden="1"/>
    </xf>
    <xf numFmtId="1" fontId="9" fillId="25" borderId="0" xfId="84" applyNumberFormat="1" applyFont="1" applyFill="1" applyBorder="1" applyAlignment="1" applyProtection="1">
      <alignment/>
      <protection hidden="1"/>
    </xf>
    <xf numFmtId="0" fontId="3" fillId="25" borderId="0" xfId="84" applyFont="1" applyFill="1" applyAlignment="1">
      <alignment/>
      <protection/>
    </xf>
    <xf numFmtId="0" fontId="0" fillId="25" borderId="0" xfId="89" applyFill="1" applyBorder="1" applyProtection="1">
      <alignment/>
      <protection hidden="1"/>
    </xf>
    <xf numFmtId="0" fontId="0" fillId="25" borderId="0" xfId="84" applyFill="1" applyProtection="1">
      <alignment/>
      <protection/>
    </xf>
    <xf numFmtId="172" fontId="3" fillId="25" borderId="0" xfId="84" applyNumberFormat="1" applyFont="1" applyFill="1" applyBorder="1" applyProtection="1">
      <alignment/>
      <protection hidden="1"/>
    </xf>
    <xf numFmtId="2" fontId="9" fillId="25" borderId="0" xfId="84" applyNumberFormat="1" applyFont="1" applyFill="1" applyBorder="1" applyAlignment="1" applyProtection="1">
      <alignment horizontal="center"/>
      <protection hidden="1"/>
    </xf>
    <xf numFmtId="0" fontId="3" fillId="25" borderId="0" xfId="111" applyFont="1" applyFill="1" applyProtection="1">
      <alignment/>
      <protection hidden="1"/>
    </xf>
    <xf numFmtId="2" fontId="9" fillId="25" borderId="0" xfId="84" applyNumberFormat="1" applyFont="1" applyFill="1" applyAlignment="1" applyProtection="1">
      <alignment horizontal="center"/>
      <protection hidden="1"/>
    </xf>
    <xf numFmtId="0" fontId="36" fillId="25" borderId="0" xfId="111" applyFont="1" applyFill="1" applyAlignment="1" applyProtection="1">
      <alignment vertical="center"/>
      <protection hidden="1"/>
    </xf>
    <xf numFmtId="0" fontId="3" fillId="25" borderId="0" xfId="111" applyFill="1" applyAlignment="1" applyProtection="1">
      <alignment vertical="center"/>
      <protection hidden="1"/>
    </xf>
    <xf numFmtId="0" fontId="3" fillId="25" borderId="0" xfId="111" applyFont="1" applyFill="1" applyAlignment="1" applyProtection="1">
      <alignment horizontal="right" vertical="center"/>
      <protection hidden="1"/>
    </xf>
    <xf numFmtId="0" fontId="3" fillId="25" borderId="0" xfId="111" applyFont="1" applyFill="1" applyAlignment="1" applyProtection="1">
      <alignment vertical="center"/>
      <protection hidden="1"/>
    </xf>
    <xf numFmtId="1" fontId="3" fillId="25" borderId="0" xfId="111" applyNumberFormat="1" applyFont="1" applyFill="1" applyAlignment="1" applyProtection="1">
      <alignment vertical="center"/>
      <protection hidden="1"/>
    </xf>
    <xf numFmtId="0" fontId="3" fillId="25" borderId="0" xfId="111" applyFont="1" applyFill="1" applyAlignment="1" applyProtection="1">
      <alignment vertical="center"/>
      <protection hidden="1"/>
    </xf>
    <xf numFmtId="1" fontId="35" fillId="25" borderId="0" xfId="111" applyNumberFormat="1" applyFont="1" applyFill="1" applyAlignment="1" applyProtection="1">
      <alignment vertical="center"/>
      <protection hidden="1"/>
    </xf>
    <xf numFmtId="0" fontId="0" fillId="25" borderId="0" xfId="89" applyFill="1" applyAlignment="1">
      <alignment vertical="center"/>
      <protection/>
    </xf>
    <xf numFmtId="2" fontId="3" fillId="25" borderId="14" xfId="95" applyNumberFormat="1" applyFont="1" applyFill="1" applyBorder="1" applyAlignment="1" applyProtection="1">
      <alignment horizontal="center"/>
      <protection/>
    </xf>
    <xf numFmtId="1" fontId="3" fillId="25" borderId="14" xfId="95" applyNumberFormat="1" applyFont="1" applyFill="1" applyBorder="1" applyAlignment="1" applyProtection="1">
      <alignment horizontal="center"/>
      <protection/>
    </xf>
    <xf numFmtId="0" fontId="3" fillId="22" borderId="0" xfId="111" applyFill="1" applyProtection="1">
      <alignment/>
      <protection locked="0"/>
    </xf>
    <xf numFmtId="0" fontId="3" fillId="22" borderId="19" xfId="89" applyFont="1" applyFill="1" applyBorder="1" applyAlignment="1" applyProtection="1">
      <alignment horizontal="center"/>
      <protection locked="0"/>
    </xf>
    <xf numFmtId="2" fontId="3" fillId="22" borderId="19" xfId="89" applyNumberFormat="1" applyFont="1" applyFill="1" applyBorder="1" applyAlignment="1" applyProtection="1">
      <alignment horizontal="center"/>
      <protection locked="0"/>
    </xf>
    <xf numFmtId="0" fontId="3" fillId="22" borderId="19" xfId="95" applyFont="1" applyFill="1" applyBorder="1" applyAlignment="1" applyProtection="1">
      <alignment horizontal="center"/>
      <protection locked="0"/>
    </xf>
    <xf numFmtId="2" fontId="3" fillId="22" borderId="19" xfId="95" applyNumberFormat="1" applyFont="1" applyFill="1" applyBorder="1" applyAlignment="1" applyProtection="1">
      <alignment horizontal="center"/>
      <protection locked="0"/>
    </xf>
    <xf numFmtId="0" fontId="3" fillId="22" borderId="0" xfId="84" applyFont="1" applyFill="1" applyBorder="1" applyProtection="1">
      <alignment/>
      <protection locked="0"/>
    </xf>
    <xf numFmtId="1" fontId="3" fillId="22" borderId="0" xfId="76" applyNumberFormat="1" applyFont="1" applyFill="1" applyBorder="1" applyProtection="1">
      <alignment/>
      <protection locked="0"/>
    </xf>
    <xf numFmtId="0" fontId="3" fillId="22" borderId="11" xfId="0" applyFont="1" applyFill="1" applyBorder="1" applyAlignment="1" applyProtection="1">
      <alignment/>
      <protection locked="0"/>
    </xf>
    <xf numFmtId="0" fontId="3" fillId="22" borderId="17" xfId="0" applyFont="1" applyFill="1" applyBorder="1" applyAlignment="1" applyProtection="1">
      <alignment/>
      <protection locked="0"/>
    </xf>
    <xf numFmtId="0" fontId="3" fillId="25" borderId="0" xfId="111" applyFill="1" applyProtection="1">
      <alignment/>
      <protection/>
    </xf>
    <xf numFmtId="0" fontId="3" fillId="22" borderId="0" xfId="84" applyFont="1" applyFill="1" applyBorder="1" applyAlignment="1" applyProtection="1">
      <alignment horizontal="left"/>
      <protection locked="0"/>
    </xf>
    <xf numFmtId="0" fontId="3" fillId="11" borderId="0" xfId="111" applyFill="1" applyAlignment="1" applyProtection="1">
      <alignment horizontal="center"/>
      <protection hidden="1"/>
    </xf>
    <xf numFmtId="0" fontId="17" fillId="11" borderId="22" xfId="111" applyFont="1" applyFill="1" applyBorder="1" applyAlignment="1" applyProtection="1">
      <alignment horizontal="center"/>
      <protection hidden="1"/>
    </xf>
    <xf numFmtId="0" fontId="49" fillId="25" borderId="0" xfId="111" applyFont="1" applyFill="1" applyAlignment="1" applyProtection="1">
      <alignment horizontal="center"/>
      <protection hidden="1"/>
    </xf>
    <xf numFmtId="0" fontId="49" fillId="25" borderId="23" xfId="111" applyFont="1" applyFill="1" applyBorder="1" applyAlignment="1" applyProtection="1">
      <alignment horizontal="center"/>
      <protection hidden="1"/>
    </xf>
    <xf numFmtId="204" fontId="49" fillId="25" borderId="0" xfId="111" applyNumberFormat="1" applyFont="1" applyFill="1" applyAlignment="1" applyProtection="1">
      <alignment horizontal="center"/>
      <protection hidden="1"/>
    </xf>
    <xf numFmtId="204" fontId="49" fillId="25" borderId="23" xfId="111" applyNumberFormat="1" applyFont="1" applyFill="1" applyBorder="1" applyAlignment="1" applyProtection="1">
      <alignment horizontal="center"/>
      <protection hidden="1"/>
    </xf>
    <xf numFmtId="202" fontId="3" fillId="11" borderId="0" xfId="111" applyNumberFormat="1" applyFill="1" applyAlignment="1" applyProtection="1">
      <alignment horizontal="center"/>
      <protection hidden="1"/>
    </xf>
    <xf numFmtId="202" fontId="17" fillId="11" borderId="23" xfId="111" applyNumberFormat="1" applyFont="1" applyFill="1" applyBorder="1" applyAlignment="1" applyProtection="1">
      <alignment horizontal="center"/>
      <protection hidden="1"/>
    </xf>
    <xf numFmtId="1" fontId="39" fillId="25" borderId="0" xfId="111" applyNumberFormat="1" applyFont="1" applyFill="1" applyAlignment="1" applyProtection="1">
      <alignment horizontal="center"/>
      <protection hidden="1"/>
    </xf>
    <xf numFmtId="1" fontId="35" fillId="25" borderId="24" xfId="111" applyNumberFormat="1" applyFont="1" applyFill="1" applyBorder="1" applyAlignment="1" applyProtection="1">
      <alignment horizontal="center"/>
      <protection hidden="1"/>
    </xf>
    <xf numFmtId="0" fontId="8" fillId="22" borderId="0" xfId="89" applyFont="1" applyFill="1" applyBorder="1" applyProtection="1">
      <alignment/>
      <protection locked="0"/>
    </xf>
    <xf numFmtId="0" fontId="3" fillId="22" borderId="0" xfId="89" applyFont="1" applyFill="1" applyBorder="1" applyAlignment="1" applyProtection="1">
      <alignment horizontal="left"/>
      <protection locked="0"/>
    </xf>
    <xf numFmtId="0" fontId="3" fillId="22" borderId="0" xfId="89" applyFont="1" applyFill="1">
      <alignment/>
      <protection/>
    </xf>
    <xf numFmtId="0" fontId="3" fillId="0" borderId="0" xfId="89" applyFont="1" applyFill="1" applyBorder="1" applyProtection="1">
      <alignment/>
      <protection hidden="1" locked="0"/>
    </xf>
    <xf numFmtId="0" fontId="62" fillId="25" borderId="0" xfId="89" applyFont="1" applyFill="1" applyAlignment="1" applyProtection="1">
      <alignment vertical="center" wrapText="1"/>
      <protection hidden="1"/>
    </xf>
    <xf numFmtId="0" fontId="0" fillId="25" borderId="10" xfId="89" applyFill="1" applyBorder="1" applyProtection="1">
      <alignment/>
      <protection hidden="1"/>
    </xf>
    <xf numFmtId="0" fontId="3" fillId="25" borderId="25" xfId="89" applyFont="1" applyFill="1" applyBorder="1" applyAlignment="1" applyProtection="1">
      <alignment horizontal="right"/>
      <protection hidden="1"/>
    </xf>
    <xf numFmtId="0" fontId="3" fillId="25" borderId="25" xfId="89" applyFont="1" applyFill="1" applyBorder="1" applyProtection="1">
      <alignment/>
      <protection hidden="1"/>
    </xf>
    <xf numFmtId="0" fontId="3" fillId="25" borderId="0" xfId="89" applyFont="1" applyFill="1" applyProtection="1">
      <alignment/>
      <protection hidden="1"/>
    </xf>
    <xf numFmtId="173" fontId="3" fillId="22" borderId="10" xfId="89" applyNumberFormat="1" applyFont="1" applyFill="1" applyBorder="1" applyProtection="1">
      <alignment/>
      <protection locked="0"/>
    </xf>
    <xf numFmtId="0" fontId="62" fillId="25" borderId="0" xfId="0" applyFont="1" applyFill="1" applyAlignment="1" applyProtection="1">
      <alignment vertical="center" wrapText="1"/>
      <protection hidden="1"/>
    </xf>
    <xf numFmtId="0" fontId="7" fillId="25" borderId="0" xfId="0" applyFont="1" applyFill="1" applyAlignment="1" applyProtection="1">
      <alignment wrapText="1"/>
      <protection hidden="1"/>
    </xf>
    <xf numFmtId="0" fontId="3" fillId="25" borderId="0" xfId="89" applyFont="1" applyFill="1" applyAlignment="1" applyProtection="1">
      <alignment horizontal="right"/>
      <protection hidden="1"/>
    </xf>
    <xf numFmtId="2" fontId="3" fillId="25" borderId="0" xfId="89" applyNumberFormat="1" applyFont="1" applyFill="1" applyProtection="1">
      <alignment/>
      <protection hidden="1"/>
    </xf>
    <xf numFmtId="0" fontId="0" fillId="25" borderId="0" xfId="89" applyFont="1" applyFill="1" applyBorder="1" applyProtection="1">
      <alignment/>
      <protection hidden="1"/>
    </xf>
    <xf numFmtId="0" fontId="0" fillId="0" borderId="0" xfId="84" applyProtection="1">
      <alignment/>
      <protection hidden="1"/>
    </xf>
    <xf numFmtId="0" fontId="21" fillId="25" borderId="0" xfId="89" applyFont="1" applyFill="1" applyAlignment="1" applyProtection="1">
      <alignment horizontal="right"/>
      <protection hidden="1"/>
    </xf>
    <xf numFmtId="0" fontId="7" fillId="25" borderId="0" xfId="89" applyFont="1" applyFill="1" applyProtection="1">
      <alignment/>
      <protection hidden="1"/>
    </xf>
    <xf numFmtId="172" fontId="3" fillId="22" borderId="19" xfId="89" applyNumberFormat="1" applyFont="1" applyFill="1" applyBorder="1" applyAlignment="1" applyProtection="1">
      <alignment horizontal="center"/>
      <protection locked="0"/>
    </xf>
    <xf numFmtId="0" fontId="3" fillId="25" borderId="0" xfId="111" applyFont="1" applyFill="1" applyBorder="1" applyProtection="1">
      <alignment/>
      <protection hidden="1"/>
    </xf>
    <xf numFmtId="0" fontId="3" fillId="25" borderId="0" xfId="111" applyFill="1" applyBorder="1" applyProtection="1">
      <alignment/>
      <protection hidden="1"/>
    </xf>
    <xf numFmtId="0" fontId="17" fillId="25" borderId="0" xfId="111" applyFont="1" applyFill="1" applyBorder="1" applyAlignment="1" applyProtection="1">
      <alignment vertical="center"/>
      <protection hidden="1"/>
    </xf>
    <xf numFmtId="0" fontId="0" fillId="25" borderId="0" xfId="0" applyFill="1" applyAlignment="1" applyProtection="1">
      <alignment horizontal="left" vertical="top" wrapText="1" indent="1"/>
      <protection hidden="1"/>
    </xf>
    <xf numFmtId="0" fontId="8" fillId="25" borderId="0" xfId="0" applyFont="1" applyFill="1" applyBorder="1" applyAlignment="1" applyProtection="1">
      <alignment vertical="center"/>
      <protection hidden="1"/>
    </xf>
    <xf numFmtId="0" fontId="3" fillId="0" borderId="0" xfId="84" applyFont="1" applyProtection="1">
      <alignment/>
      <protection hidden="1"/>
    </xf>
    <xf numFmtId="0" fontId="3" fillId="0" borderId="0" xfId="84" applyFont="1" applyFill="1" applyProtection="1">
      <alignment/>
      <protection hidden="1"/>
    </xf>
    <xf numFmtId="0" fontId="0" fillId="25" borderId="0" xfId="84" applyFont="1" applyFill="1" applyAlignment="1" applyProtection="1">
      <alignment/>
      <protection hidden="1"/>
    </xf>
    <xf numFmtId="0" fontId="3" fillId="25" borderId="0" xfId="111" applyFill="1" applyAlignment="1" applyProtection="1">
      <alignment/>
      <protection hidden="1"/>
    </xf>
    <xf numFmtId="0" fontId="3" fillId="0" borderId="0" xfId="84" applyFont="1" applyFill="1" applyBorder="1" applyProtection="1">
      <alignment/>
      <protection hidden="1"/>
    </xf>
    <xf numFmtId="2" fontId="11" fillId="25" borderId="0" xfId="89" applyNumberFormat="1" applyFont="1" applyFill="1">
      <alignment/>
      <protection/>
    </xf>
    <xf numFmtId="1" fontId="11" fillId="25" borderId="0" xfId="89" applyNumberFormat="1" applyFont="1" applyFill="1">
      <alignment/>
      <protection/>
    </xf>
    <xf numFmtId="0" fontId="11" fillId="25" borderId="0" xfId="89" applyFont="1" applyFill="1">
      <alignment/>
      <protection/>
    </xf>
    <xf numFmtId="172" fontId="3" fillId="25" borderId="0" xfId="84" applyNumberFormat="1" applyFont="1" applyFill="1" applyBorder="1" applyProtection="1">
      <alignment/>
      <protection locked="0"/>
    </xf>
    <xf numFmtId="172" fontId="9" fillId="25" borderId="0" xfId="89" applyNumberFormat="1" applyFont="1" applyFill="1" applyProtection="1">
      <alignment/>
      <protection locked="0"/>
    </xf>
    <xf numFmtId="172" fontId="3" fillId="25" borderId="0" xfId="84" applyNumberFormat="1" applyFont="1" applyFill="1">
      <alignment/>
      <protection/>
    </xf>
    <xf numFmtId="172" fontId="3" fillId="25" borderId="0" xfId="84" applyNumberFormat="1" applyFont="1" applyFill="1" applyBorder="1">
      <alignment/>
      <protection/>
    </xf>
    <xf numFmtId="172" fontId="9" fillId="25" borderId="0" xfId="89" applyNumberFormat="1" applyFont="1" applyFill="1">
      <alignment/>
      <protection/>
    </xf>
    <xf numFmtId="172" fontId="3" fillId="25" borderId="0" xfId="111" applyNumberFormat="1" applyFont="1" applyFill="1">
      <alignment/>
      <protection/>
    </xf>
    <xf numFmtId="0" fontId="3" fillId="25" borderId="0" xfId="95" applyFill="1" applyBorder="1">
      <alignment/>
      <protection/>
    </xf>
    <xf numFmtId="172" fontId="3" fillId="25" borderId="0" xfId="95" applyNumberFormat="1" applyFont="1" applyFill="1" applyBorder="1" applyAlignment="1" applyProtection="1">
      <alignment horizontal="right"/>
      <protection hidden="1"/>
    </xf>
    <xf numFmtId="172" fontId="3" fillId="25" borderId="0" xfId="95" applyNumberFormat="1" applyFont="1" applyFill="1" applyBorder="1" applyProtection="1">
      <alignment/>
      <protection hidden="1"/>
    </xf>
    <xf numFmtId="0" fontId="17" fillId="25" borderId="0" xfId="89" applyFont="1" applyFill="1" applyBorder="1" applyAlignment="1" applyProtection="1">
      <alignment horizontal="left"/>
      <protection hidden="1"/>
    </xf>
    <xf numFmtId="2" fontId="3" fillId="25" borderId="19" xfId="95" applyNumberFormat="1" applyFont="1" applyFill="1" applyBorder="1" applyAlignment="1" applyProtection="1">
      <alignment horizontal="center"/>
      <protection/>
    </xf>
    <xf numFmtId="1" fontId="3" fillId="25" borderId="19" xfId="95" applyNumberFormat="1" applyFont="1" applyFill="1" applyBorder="1" applyAlignment="1" applyProtection="1">
      <alignment horizontal="center"/>
      <protection hidden="1"/>
    </xf>
    <xf numFmtId="0" fontId="3" fillId="25" borderId="26" xfId="89" applyFont="1" applyFill="1" applyBorder="1" applyAlignment="1" applyProtection="1">
      <alignment horizontal="right"/>
      <protection hidden="1"/>
    </xf>
    <xf numFmtId="0" fontId="0" fillId="25" borderId="0" xfId="89" applyFill="1" applyAlignment="1">
      <alignment/>
      <protection/>
    </xf>
    <xf numFmtId="0" fontId="0" fillId="26" borderId="0" xfId="84" applyFill="1" applyProtection="1">
      <alignment/>
      <protection hidden="1"/>
    </xf>
    <xf numFmtId="0" fontId="3" fillId="26" borderId="0" xfId="111" applyFill="1" applyProtection="1">
      <alignment/>
      <protection hidden="1"/>
    </xf>
    <xf numFmtId="0" fontId="8" fillId="26" borderId="0" xfId="89" applyNumberFormat="1" applyFont="1" applyFill="1" applyAlignment="1" applyProtection="1">
      <alignment vertical="center" wrapText="1"/>
      <protection hidden="1"/>
    </xf>
    <xf numFmtId="0" fontId="3" fillId="27" borderId="0" xfId="95" applyFill="1" applyProtection="1">
      <alignment/>
      <protection hidden="1"/>
    </xf>
    <xf numFmtId="2" fontId="3" fillId="27" borderId="0" xfId="95" applyNumberFormat="1" applyFill="1" applyProtection="1">
      <alignment/>
      <protection hidden="1"/>
    </xf>
    <xf numFmtId="1" fontId="4" fillId="0" borderId="0" xfId="89" applyNumberFormat="1" applyFont="1" applyAlignment="1" applyProtection="1">
      <alignment horizontal="center"/>
      <protection locked="0"/>
    </xf>
    <xf numFmtId="0" fontId="3" fillId="25" borderId="0" xfId="89" applyFont="1" applyFill="1" applyAlignment="1" applyProtection="1">
      <alignment horizontal="center"/>
      <protection hidden="1"/>
    </xf>
    <xf numFmtId="0" fontId="70" fillId="0" borderId="0" xfId="84" applyFont="1" applyAlignment="1" applyProtection="1">
      <alignment horizontal="centerContinuous"/>
      <protection locked="0"/>
    </xf>
    <xf numFmtId="0" fontId="71" fillId="0" borderId="0" xfId="89" applyFont="1" applyAlignment="1" applyProtection="1">
      <alignment horizontal="centerContinuous"/>
      <protection locked="0"/>
    </xf>
    <xf numFmtId="0" fontId="3" fillId="25" borderId="10" xfId="89" applyFont="1" applyFill="1" applyBorder="1" applyAlignment="1">
      <alignment horizontal="center"/>
      <protection/>
    </xf>
    <xf numFmtId="49" fontId="3" fillId="25" borderId="19" xfId="81" applyNumberFormat="1" applyFont="1" applyFill="1" applyBorder="1" applyAlignment="1" applyProtection="1">
      <alignment horizontal="left"/>
      <protection locked="0"/>
    </xf>
    <xf numFmtId="49" fontId="3" fillId="25" borderId="11" xfId="81" applyNumberFormat="1" applyFont="1" applyFill="1" applyBorder="1" applyAlignment="1" applyProtection="1">
      <alignment horizontal="left"/>
      <protection locked="0"/>
    </xf>
    <xf numFmtId="49" fontId="3" fillId="25" borderId="12" xfId="81" applyNumberFormat="1" applyFont="1" applyFill="1" applyBorder="1" applyAlignment="1" applyProtection="1">
      <alignment horizontal="left"/>
      <protection locked="0"/>
    </xf>
    <xf numFmtId="0" fontId="32" fillId="22" borderId="0" xfId="84" applyFont="1" applyFill="1" applyAlignment="1" applyProtection="1">
      <alignment horizontal="right"/>
      <protection locked="0"/>
    </xf>
    <xf numFmtId="0" fontId="32" fillId="22" borderId="0" xfId="84" applyFont="1" applyFill="1" applyBorder="1" applyAlignment="1" applyProtection="1">
      <alignment horizontal="right"/>
      <protection locked="0"/>
    </xf>
    <xf numFmtId="0" fontId="32" fillId="22" borderId="0" xfId="111" applyFont="1" applyFill="1" applyBorder="1" applyAlignment="1" applyProtection="1">
      <alignment horizontal="right"/>
      <protection locked="0"/>
    </xf>
    <xf numFmtId="0" fontId="3" fillId="22" borderId="17" xfId="84" applyFont="1" applyFill="1" applyBorder="1" applyProtection="1">
      <alignment/>
      <protection locked="0"/>
    </xf>
    <xf numFmtId="0" fontId="9" fillId="25" borderId="0" xfId="89" applyFont="1" applyFill="1" applyBorder="1" applyProtection="1">
      <alignment/>
      <protection hidden="1"/>
    </xf>
    <xf numFmtId="1" fontId="9" fillId="24" borderId="0" xfId="89" applyNumberFormat="1" applyFont="1" applyFill="1" applyBorder="1" applyProtection="1">
      <alignment/>
      <protection locked="0"/>
    </xf>
    <xf numFmtId="0" fontId="0" fillId="25" borderId="0" xfId="89" applyFill="1" applyBorder="1" applyProtection="1">
      <alignment/>
      <protection/>
    </xf>
    <xf numFmtId="0" fontId="5" fillId="0" borderId="0" xfId="89" applyFont="1" applyAlignment="1" applyProtection="1">
      <alignment horizontal="center"/>
      <protection locked="0"/>
    </xf>
    <xf numFmtId="0" fontId="7" fillId="25" borderId="0" xfId="84" applyFont="1" applyFill="1" applyAlignment="1" applyProtection="1">
      <alignment horizontal="right" vertical="top"/>
      <protection hidden="1"/>
    </xf>
    <xf numFmtId="0" fontId="0" fillId="25" borderId="0" xfId="89" applyFont="1" applyFill="1" applyBorder="1" applyProtection="1">
      <alignment/>
      <protection hidden="1"/>
    </xf>
    <xf numFmtId="0" fontId="0" fillId="25" borderId="0" xfId="89" applyFont="1" applyFill="1" applyAlignment="1" applyProtection="1">
      <alignment horizontal="centerContinuous" wrapText="1"/>
      <protection/>
    </xf>
    <xf numFmtId="0" fontId="0" fillId="25" borderId="0" xfId="89" applyFill="1" applyAlignment="1" applyProtection="1">
      <alignment horizontal="centerContinuous"/>
      <protection/>
    </xf>
    <xf numFmtId="0" fontId="0" fillId="25" borderId="0" xfId="89" applyFill="1" applyBorder="1" applyAlignment="1" applyProtection="1">
      <alignment horizontal="centerContinuous"/>
      <protection/>
    </xf>
    <xf numFmtId="0" fontId="8" fillId="26" borderId="0" xfId="89" applyNumberFormat="1" applyFont="1" applyFill="1" applyAlignment="1" applyProtection="1">
      <alignment vertical="center" wrapText="1"/>
      <protection/>
    </xf>
    <xf numFmtId="0" fontId="3" fillId="25" borderId="0" xfId="81" applyFont="1" applyFill="1" applyAlignment="1" applyProtection="1">
      <alignment horizontal="left"/>
      <protection/>
    </xf>
    <xf numFmtId="0" fontId="0" fillId="25" borderId="0" xfId="89" applyFill="1" applyAlignment="1" applyProtection="1">
      <alignment horizontal="left"/>
      <protection/>
    </xf>
    <xf numFmtId="0" fontId="17" fillId="25" borderId="0" xfId="89" applyFont="1" applyFill="1" applyBorder="1" applyProtection="1">
      <alignment/>
      <protection/>
    </xf>
    <xf numFmtId="0" fontId="0" fillId="25" borderId="0" xfId="89" applyFont="1" applyFill="1" applyProtection="1">
      <alignment/>
      <protection/>
    </xf>
    <xf numFmtId="0" fontId="3" fillId="25" borderId="0" xfId="108" applyFont="1" applyFill="1" applyProtection="1">
      <alignment/>
      <protection/>
    </xf>
    <xf numFmtId="0" fontId="3" fillId="25" borderId="0" xfId="89" applyFont="1" applyFill="1" applyProtection="1">
      <alignment/>
      <protection/>
    </xf>
    <xf numFmtId="0" fontId="3" fillId="25" borderId="0" xfId="89" applyFont="1" applyFill="1" applyProtection="1">
      <alignment/>
      <protection/>
    </xf>
    <xf numFmtId="172" fontId="41" fillId="25" borderId="0" xfId="89" applyNumberFormat="1" applyFont="1" applyFill="1" applyBorder="1" applyProtection="1">
      <alignment/>
      <protection/>
    </xf>
    <xf numFmtId="0" fontId="8" fillId="25" borderId="0" xfId="89" applyFont="1" applyFill="1" applyAlignment="1" applyProtection="1">
      <alignment horizontal="centerContinuous"/>
      <protection/>
    </xf>
    <xf numFmtId="0" fontId="0" fillId="25" borderId="0" xfId="89" applyFill="1" applyAlignment="1" applyProtection="1">
      <alignment horizontal="center"/>
      <protection/>
    </xf>
    <xf numFmtId="173" fontId="0" fillId="0" borderId="0" xfId="89" applyNumberFormat="1" applyProtection="1">
      <alignment/>
      <protection/>
    </xf>
    <xf numFmtId="0" fontId="0" fillId="22" borderId="0" xfId="89" applyFill="1" applyProtection="1">
      <alignment/>
      <protection/>
    </xf>
    <xf numFmtId="173" fontId="0" fillId="22" borderId="0" xfId="89" applyNumberFormat="1" applyFill="1" applyProtection="1">
      <alignment/>
      <protection/>
    </xf>
    <xf numFmtId="49" fontId="38" fillId="25" borderId="0" xfId="89" applyNumberFormat="1" applyFont="1" applyFill="1" applyBorder="1" applyAlignment="1" applyProtection="1">
      <alignment horizontal="right" vertical="center" textRotation="90" wrapText="1"/>
      <protection/>
    </xf>
    <xf numFmtId="0" fontId="3" fillId="22" borderId="18" xfId="84" applyFont="1" applyFill="1" applyBorder="1" applyProtection="1">
      <alignment/>
      <protection locked="0"/>
    </xf>
    <xf numFmtId="0" fontId="65" fillId="25" borderId="0" xfId="89" applyFont="1" applyFill="1" applyBorder="1" applyProtection="1">
      <alignment/>
      <protection hidden="1"/>
    </xf>
    <xf numFmtId="0" fontId="17" fillId="25" borderId="0" xfId="92" applyFont="1" applyFill="1">
      <alignment/>
      <protection/>
    </xf>
    <xf numFmtId="0" fontId="0" fillId="25" borderId="0" xfId="92" applyFill="1">
      <alignment/>
      <protection/>
    </xf>
    <xf numFmtId="0" fontId="0" fillId="25" borderId="0" xfId="0" applyFill="1" applyAlignment="1">
      <alignment/>
    </xf>
    <xf numFmtId="0" fontId="0" fillId="25" borderId="0" xfId="84" applyFont="1" applyFill="1" applyBorder="1" applyProtection="1">
      <alignment/>
      <protection hidden="1"/>
    </xf>
    <xf numFmtId="0" fontId="7" fillId="25" borderId="0" xfId="84" applyFont="1" applyFill="1" applyAlignment="1" applyProtection="1">
      <alignment horizontal="right"/>
      <protection hidden="1"/>
    </xf>
    <xf numFmtId="0" fontId="20" fillId="25" borderId="0" xfId="89" applyFont="1" applyFill="1" applyAlignment="1" applyProtection="1">
      <alignment horizontal="centerContinuous"/>
      <protection hidden="1"/>
    </xf>
    <xf numFmtId="0" fontId="11" fillId="25" borderId="0" xfId="89" applyFont="1" applyFill="1" applyBorder="1" applyProtection="1">
      <alignment/>
      <protection hidden="1"/>
    </xf>
    <xf numFmtId="0" fontId="37" fillId="25" borderId="26" xfId="89" applyFont="1" applyFill="1" applyBorder="1" applyAlignment="1" applyProtection="1">
      <alignment horizontal="center"/>
      <protection hidden="1"/>
    </xf>
    <xf numFmtId="0" fontId="28" fillId="25" borderId="0" xfId="89" applyFont="1" applyFill="1" applyAlignment="1">
      <alignment horizontal="left" wrapText="1"/>
      <protection/>
    </xf>
    <xf numFmtId="0" fontId="44" fillId="0" borderId="0" xfId="0" applyFont="1" applyAlignment="1">
      <alignment/>
    </xf>
    <xf numFmtId="0" fontId="0" fillId="25" borderId="0" xfId="89" applyFill="1" applyAlignment="1" applyProtection="1">
      <alignment horizontal="center"/>
      <protection hidden="1"/>
    </xf>
    <xf numFmtId="0" fontId="18" fillId="25" borderId="0" xfId="65" applyFont="1" applyFill="1" applyAlignment="1" applyProtection="1">
      <alignment/>
      <protection/>
    </xf>
    <xf numFmtId="0" fontId="0" fillId="25" borderId="0" xfId="89" applyFill="1" applyAlignment="1" applyProtection="1">
      <alignment/>
      <protection/>
    </xf>
    <xf numFmtId="2" fontId="3" fillId="25" borderId="0" xfId="89" applyNumberFormat="1" applyFont="1" applyFill="1" applyProtection="1">
      <alignment/>
      <protection/>
    </xf>
    <xf numFmtId="2" fontId="3" fillId="25" borderId="0" xfId="89" applyNumberFormat="1" applyFont="1" applyFill="1" applyProtection="1">
      <alignment/>
      <protection/>
    </xf>
    <xf numFmtId="0" fontId="3" fillId="25" borderId="0" xfId="89" applyFont="1" applyFill="1" applyBorder="1" applyAlignment="1" applyProtection="1">
      <alignment horizontal="right"/>
      <protection hidden="1"/>
    </xf>
    <xf numFmtId="0" fontId="0" fillId="25" borderId="0" xfId="0" applyFill="1" applyAlignment="1" applyProtection="1">
      <alignment/>
      <protection/>
    </xf>
    <xf numFmtId="0" fontId="3" fillId="25" borderId="0" xfId="89" applyFont="1" applyFill="1" applyBorder="1" applyAlignment="1" applyProtection="1">
      <alignment horizontal="left"/>
      <protection hidden="1"/>
    </xf>
    <xf numFmtId="0" fontId="0" fillId="25" borderId="0" xfId="89" applyFill="1" applyBorder="1" applyAlignment="1" applyProtection="1">
      <alignment horizontal="center"/>
      <protection hidden="1"/>
    </xf>
    <xf numFmtId="0" fontId="8" fillId="25" borderId="0" xfId="89" applyNumberFormat="1" applyFont="1" applyFill="1" applyAlignment="1" applyProtection="1">
      <alignment vertical="center" wrapText="1"/>
      <protection/>
    </xf>
    <xf numFmtId="0" fontId="74" fillId="0" borderId="0" xfId="89" applyFont="1" applyProtection="1">
      <alignment/>
      <protection/>
    </xf>
    <xf numFmtId="0" fontId="5" fillId="0" borderId="0" xfId="84" applyFont="1" applyAlignment="1" applyProtection="1">
      <alignment horizontal="center"/>
      <protection/>
    </xf>
    <xf numFmtId="49" fontId="8" fillId="25" borderId="0" xfId="89" applyNumberFormat="1" applyFont="1" applyFill="1" applyBorder="1" applyAlignment="1" applyProtection="1">
      <alignment horizontal="right" vertical="center" textRotation="90" wrapText="1"/>
      <protection/>
    </xf>
    <xf numFmtId="0" fontId="0" fillId="25" borderId="0" xfId="84" applyFill="1" applyAlignment="1" applyProtection="1">
      <alignment horizontal="center"/>
      <protection/>
    </xf>
    <xf numFmtId="0" fontId="10" fillId="25" borderId="25" xfId="84" applyFont="1" applyFill="1" applyBorder="1" applyAlignment="1" applyProtection="1">
      <alignment horizontal="center"/>
      <protection/>
    </xf>
    <xf numFmtId="0" fontId="3" fillId="25" borderId="16" xfId="84" applyFont="1" applyFill="1" applyBorder="1" applyProtection="1">
      <alignment/>
      <protection/>
    </xf>
    <xf numFmtId="0" fontId="3" fillId="0" borderId="0" xfId="84" applyFont="1" applyBorder="1" applyProtection="1">
      <alignment/>
      <protection hidden="1"/>
    </xf>
    <xf numFmtId="0" fontId="0" fillId="25" borderId="0" xfId="84" applyFont="1" applyFill="1" applyBorder="1" applyAlignment="1" applyProtection="1">
      <alignment horizontal="left"/>
      <protection hidden="1"/>
    </xf>
    <xf numFmtId="0" fontId="3" fillId="25" borderId="0" xfId="121" applyFont="1" applyFill="1" applyBorder="1" applyAlignment="1" applyProtection="1">
      <alignment horizontal="right"/>
      <protection hidden="1"/>
    </xf>
    <xf numFmtId="0" fontId="3" fillId="25" borderId="0" xfId="84" applyFont="1" applyFill="1" applyAlignment="1" applyProtection="1">
      <alignment vertical="center"/>
      <protection hidden="1"/>
    </xf>
    <xf numFmtId="49" fontId="17" fillId="25" borderId="10" xfId="81" applyNumberFormat="1" applyFont="1" applyFill="1" applyBorder="1" applyAlignment="1" applyProtection="1">
      <alignment horizontal="centerContinuous" vertical="center"/>
      <protection hidden="1"/>
    </xf>
    <xf numFmtId="173" fontId="17" fillId="25" borderId="11" xfId="81" applyNumberFormat="1" applyFont="1" applyFill="1" applyBorder="1" applyAlignment="1" applyProtection="1">
      <alignment horizontal="centerContinuous" vertical="center" wrapText="1"/>
      <protection hidden="1"/>
    </xf>
    <xf numFmtId="191" fontId="17" fillId="25" borderId="11" xfId="81" applyNumberFormat="1" applyFont="1" applyFill="1" applyBorder="1" applyAlignment="1" applyProtection="1">
      <alignment horizontal="centerContinuous" vertical="center" wrapText="1"/>
      <protection hidden="1"/>
    </xf>
    <xf numFmtId="0" fontId="17" fillId="25" borderId="11" xfId="81" applyNumberFormat="1" applyFont="1" applyFill="1" applyBorder="1" applyAlignment="1" applyProtection="1">
      <alignment horizontal="center" vertical="center" wrapText="1"/>
      <protection hidden="1"/>
    </xf>
    <xf numFmtId="49" fontId="17" fillId="25" borderId="15" xfId="81" applyNumberFormat="1" applyFont="1" applyFill="1" applyBorder="1" applyAlignment="1" applyProtection="1">
      <alignment horizontal="center" vertical="center"/>
      <protection hidden="1"/>
    </xf>
    <xf numFmtId="0" fontId="17" fillId="25" borderId="12" xfId="81" applyFont="1" applyFill="1" applyBorder="1" applyAlignment="1" applyProtection="1">
      <alignment horizontal="center"/>
      <protection hidden="1"/>
    </xf>
    <xf numFmtId="0" fontId="17" fillId="25" borderId="17" xfId="81" applyFont="1" applyFill="1" applyBorder="1" applyAlignment="1" applyProtection="1">
      <alignment horizontal="center"/>
      <protection hidden="1"/>
    </xf>
    <xf numFmtId="0" fontId="3" fillId="25" borderId="0" xfId="89" applyFont="1" applyFill="1" applyBorder="1" applyAlignment="1" applyProtection="1">
      <alignment horizontal="left"/>
      <protection/>
    </xf>
    <xf numFmtId="1" fontId="7" fillId="25" borderId="0" xfId="89" applyNumberFormat="1" applyFont="1" applyFill="1" applyBorder="1" applyAlignment="1" applyProtection="1">
      <alignment horizontal="center" vertical="center" wrapText="1"/>
      <protection/>
    </xf>
    <xf numFmtId="0" fontId="3" fillId="25" borderId="0" xfId="84" applyFont="1" applyFill="1" applyBorder="1" applyProtection="1">
      <alignment/>
      <protection/>
    </xf>
    <xf numFmtId="0" fontId="48" fillId="25" borderId="0" xfId="65" applyFont="1" applyFill="1" applyAlignment="1" applyProtection="1">
      <alignment horizontal="left" vertical="center" wrapText="1"/>
      <protection/>
    </xf>
    <xf numFmtId="0" fontId="3" fillId="25" borderId="0" xfId="0" applyFont="1" applyFill="1" applyAlignment="1">
      <alignment vertical="top" wrapText="1"/>
    </xf>
    <xf numFmtId="0" fontId="38" fillId="25" borderId="13" xfId="89" applyFont="1" applyFill="1" applyBorder="1" applyAlignment="1" applyProtection="1">
      <alignment horizontal="center"/>
      <protection hidden="1"/>
    </xf>
    <xf numFmtId="0" fontId="37" fillId="25" borderId="13" xfId="89" applyFont="1" applyFill="1" applyBorder="1" applyAlignment="1" applyProtection="1">
      <alignment horizontal="center"/>
      <protection hidden="1"/>
    </xf>
    <xf numFmtId="0" fontId="0" fillId="0" borderId="0" xfId="0" applyAlignment="1">
      <alignment/>
    </xf>
    <xf numFmtId="0" fontId="0" fillId="0" borderId="0" xfId="0" applyAlignment="1">
      <alignment horizontal="left"/>
    </xf>
    <xf numFmtId="0" fontId="0" fillId="25" borderId="0" xfId="0" applyFill="1" applyAlignment="1">
      <alignment horizontal="left"/>
    </xf>
    <xf numFmtId="0" fontId="3" fillId="25" borderId="0" xfId="111" applyFont="1" applyFill="1" applyBorder="1" applyAlignment="1" applyProtection="1">
      <alignment horizontal="right"/>
      <protection/>
    </xf>
    <xf numFmtId="0" fontId="31" fillId="25" borderId="0" xfId="111" applyFont="1" applyFill="1" applyBorder="1" applyAlignment="1" applyProtection="1">
      <alignment horizontal="left"/>
      <protection/>
    </xf>
    <xf numFmtId="0" fontId="31" fillId="25" borderId="0" xfId="111" applyFont="1" applyFill="1" applyBorder="1" applyAlignment="1" applyProtection="1">
      <alignment horizontal="right"/>
      <protection/>
    </xf>
    <xf numFmtId="0" fontId="3" fillId="18" borderId="0" xfId="89" applyFont="1" applyFill="1" applyBorder="1" applyProtection="1">
      <alignment/>
      <protection/>
    </xf>
    <xf numFmtId="0" fontId="0" fillId="18" borderId="0" xfId="89" applyFont="1" applyFill="1" applyBorder="1" applyProtection="1">
      <alignment/>
      <protection/>
    </xf>
    <xf numFmtId="0" fontId="9" fillId="0" borderId="0" xfId="89" applyFont="1" applyFill="1" applyBorder="1" applyProtection="1">
      <alignment/>
      <protection hidden="1"/>
    </xf>
    <xf numFmtId="0" fontId="0" fillId="0" borderId="0" xfId="89" applyBorder="1" applyProtection="1">
      <alignment/>
      <protection/>
    </xf>
    <xf numFmtId="177" fontId="9" fillId="0" borderId="0" xfId="89" applyNumberFormat="1" applyFont="1" applyFill="1" applyBorder="1" applyProtection="1">
      <alignment/>
      <protection/>
    </xf>
    <xf numFmtId="0" fontId="9" fillId="0" borderId="0" xfId="89" applyNumberFormat="1" applyFont="1" applyFill="1" applyBorder="1" applyProtection="1">
      <alignment/>
      <protection hidden="1"/>
    </xf>
    <xf numFmtId="0" fontId="0" fillId="25" borderId="0" xfId="89" applyFill="1" applyBorder="1" applyAlignment="1">
      <alignment horizontal="centerContinuous"/>
      <protection/>
    </xf>
    <xf numFmtId="0" fontId="11" fillId="25" borderId="0" xfId="89" applyFont="1" applyFill="1" applyBorder="1" applyProtection="1">
      <alignment/>
      <protection/>
    </xf>
    <xf numFmtId="0" fontId="3" fillId="0" borderId="21" xfId="89" applyFont="1" applyFill="1" applyBorder="1" applyAlignment="1" applyProtection="1">
      <alignment horizontal="center"/>
      <protection hidden="1"/>
    </xf>
    <xf numFmtId="0" fontId="14" fillId="25" borderId="15" xfId="89" applyFont="1" applyFill="1" applyBorder="1" applyAlignment="1">
      <alignment horizontal="right"/>
      <protection/>
    </xf>
    <xf numFmtId="0" fontId="3" fillId="22" borderId="18" xfId="89" applyNumberFormat="1" applyFont="1" applyFill="1" applyBorder="1" applyProtection="1">
      <alignment/>
      <protection locked="0"/>
    </xf>
    <xf numFmtId="0" fontId="3" fillId="0" borderId="20" xfId="89" applyFont="1" applyBorder="1" applyAlignment="1" applyProtection="1">
      <alignment horizontal="right"/>
      <protection hidden="1"/>
    </xf>
    <xf numFmtId="0" fontId="3" fillId="0" borderId="27" xfId="89" applyFont="1" applyBorder="1" applyAlignment="1" applyProtection="1">
      <alignment horizontal="right"/>
      <protection hidden="1"/>
    </xf>
    <xf numFmtId="0" fontId="3" fillId="24" borderId="17" xfId="89" applyFont="1" applyFill="1" applyBorder="1" applyProtection="1">
      <alignment/>
      <protection hidden="1" locked="0"/>
    </xf>
    <xf numFmtId="0" fontId="9" fillId="24" borderId="15" xfId="89" applyFont="1" applyFill="1" applyBorder="1" applyProtection="1">
      <alignment/>
      <protection hidden="1"/>
    </xf>
    <xf numFmtId="0" fontId="3" fillId="24" borderId="17" xfId="89" applyFont="1" applyFill="1" applyBorder="1" applyProtection="1">
      <alignment/>
      <protection hidden="1"/>
    </xf>
    <xf numFmtId="0" fontId="48" fillId="25" borderId="0" xfId="65" applyFont="1" applyFill="1" applyAlignment="1" applyProtection="1">
      <alignment/>
      <protection/>
    </xf>
    <xf numFmtId="1" fontId="41" fillId="0" borderId="0" xfId="89" applyNumberFormat="1" applyFont="1" applyFill="1" applyBorder="1" applyProtection="1">
      <alignment/>
      <protection hidden="1"/>
    </xf>
    <xf numFmtId="0" fontId="3" fillId="25" borderId="0" xfId="84" applyFont="1" applyFill="1" applyBorder="1" applyAlignment="1" applyProtection="1">
      <alignment horizontal="right"/>
      <protection hidden="1"/>
    </xf>
    <xf numFmtId="0" fontId="3" fillId="25" borderId="0" xfId="121" applyFont="1" applyFill="1" applyBorder="1" applyAlignment="1" applyProtection="1">
      <alignment horizontal="right"/>
      <protection/>
    </xf>
    <xf numFmtId="172" fontId="13" fillId="25" borderId="0" xfId="84" applyNumberFormat="1" applyFont="1" applyFill="1" applyBorder="1" applyAlignment="1" applyProtection="1">
      <alignment/>
      <protection hidden="1"/>
    </xf>
    <xf numFmtId="172" fontId="9" fillId="25" borderId="0" xfId="84" applyNumberFormat="1" applyFont="1" applyFill="1" applyAlignment="1" applyProtection="1">
      <alignment/>
      <protection hidden="1"/>
    </xf>
    <xf numFmtId="0" fontId="3" fillId="25" borderId="0" xfId="84" applyFont="1" applyFill="1" applyAlignment="1" applyProtection="1">
      <alignment/>
      <protection/>
    </xf>
    <xf numFmtId="0" fontId="3" fillId="0" borderId="27" xfId="89" applyFont="1" applyBorder="1" applyAlignment="1" applyProtection="1">
      <alignment horizontal="center"/>
      <protection locked="0"/>
    </xf>
    <xf numFmtId="0" fontId="10" fillId="0" borderId="27" xfId="89" applyFont="1" applyBorder="1" applyAlignment="1" applyProtection="1">
      <alignment horizontal="center"/>
      <protection hidden="1"/>
    </xf>
    <xf numFmtId="0" fontId="9" fillId="25" borderId="0" xfId="84" applyFont="1" applyFill="1" applyAlignment="1" applyProtection="1">
      <alignment/>
      <protection hidden="1"/>
    </xf>
    <xf numFmtId="0" fontId="42" fillId="0" borderId="0" xfId="89" applyFont="1" applyFill="1" applyBorder="1" applyAlignment="1" applyProtection="1">
      <alignment horizontal="right"/>
      <protection hidden="1"/>
    </xf>
    <xf numFmtId="0" fontId="3" fillId="25" borderId="0" xfId="0" applyFont="1" applyFill="1" applyAlignment="1">
      <alignment/>
    </xf>
    <xf numFmtId="0" fontId="33" fillId="25" borderId="0" xfId="95" applyFont="1" applyFill="1" applyBorder="1" applyAlignment="1" applyProtection="1">
      <alignment/>
      <protection hidden="1"/>
    </xf>
    <xf numFmtId="0" fontId="3" fillId="25" borderId="0" xfId="84" applyFont="1" applyFill="1" applyBorder="1" applyAlignment="1" applyProtection="1">
      <alignment horizontal="left"/>
      <protection hidden="1"/>
    </xf>
    <xf numFmtId="0" fontId="48" fillId="25" borderId="0" xfId="65" applyFont="1" applyFill="1" applyAlignment="1" applyProtection="1">
      <alignment wrapText="1"/>
      <protection hidden="1"/>
    </xf>
    <xf numFmtId="49" fontId="30" fillId="25" borderId="0" xfId="84" applyNumberFormat="1" applyFont="1" applyFill="1" applyAlignment="1" applyProtection="1">
      <alignment vertical="center"/>
      <protection/>
    </xf>
    <xf numFmtId="0" fontId="30" fillId="25" borderId="0" xfId="84" applyFont="1" applyFill="1" applyAlignment="1" applyProtection="1">
      <alignment vertical="center"/>
      <protection/>
    </xf>
    <xf numFmtId="0" fontId="3" fillId="25" borderId="16" xfId="89" applyFont="1" applyFill="1" applyBorder="1" applyAlignment="1" applyProtection="1">
      <alignment/>
      <protection/>
    </xf>
    <xf numFmtId="0" fontId="61" fillId="25" borderId="0" xfId="65" applyFont="1" applyFill="1" applyBorder="1" applyAlignment="1" applyProtection="1">
      <alignment horizontal="left"/>
      <protection hidden="1"/>
    </xf>
    <xf numFmtId="0" fontId="61" fillId="25" borderId="0" xfId="65" applyFont="1" applyFill="1" applyBorder="1" applyAlignment="1" applyProtection="1">
      <alignment/>
      <protection hidden="1"/>
    </xf>
    <xf numFmtId="0" fontId="0" fillId="25" borderId="0" xfId="0" applyFill="1" applyAlignment="1">
      <alignment vertical="top" wrapText="1"/>
    </xf>
    <xf numFmtId="0" fontId="3" fillId="0" borderId="0" xfId="0" applyFont="1" applyAlignment="1">
      <alignment vertical="top" wrapText="1"/>
    </xf>
    <xf numFmtId="0" fontId="3" fillId="0" borderId="0" xfId="0" applyFont="1" applyAlignment="1">
      <alignment/>
    </xf>
    <xf numFmtId="0" fontId="22" fillId="0" borderId="0" xfId="0" applyFont="1" applyAlignment="1">
      <alignment vertical="top" wrapText="1"/>
    </xf>
    <xf numFmtId="0" fontId="0" fillId="25" borderId="0" xfId="0" applyFill="1" applyBorder="1" applyAlignment="1" applyProtection="1">
      <alignment/>
      <protection/>
    </xf>
    <xf numFmtId="0" fontId="3" fillId="0" borderId="0" xfId="0" applyFont="1" applyFill="1" applyBorder="1" applyAlignment="1" applyProtection="1">
      <alignment/>
      <protection hidden="1"/>
    </xf>
    <xf numFmtId="0" fontId="0" fillId="25" borderId="0" xfId="0" applyFill="1" applyBorder="1" applyAlignment="1">
      <alignment/>
    </xf>
    <xf numFmtId="173" fontId="0" fillId="0" borderId="0" xfId="89" applyNumberFormat="1" applyProtection="1">
      <alignment/>
      <protection hidden="1"/>
    </xf>
    <xf numFmtId="0" fontId="0" fillId="25" borderId="0" xfId="89" applyFill="1" applyAlignment="1" applyProtection="1">
      <alignment/>
      <protection hidden="1"/>
    </xf>
    <xf numFmtId="0" fontId="0" fillId="25" borderId="0" xfId="0" applyFill="1" applyAlignment="1" applyProtection="1">
      <alignment/>
      <protection hidden="1"/>
    </xf>
    <xf numFmtId="9" fontId="0" fillId="25" borderId="0" xfId="0" applyNumberFormat="1" applyFill="1" applyAlignment="1" applyProtection="1">
      <alignment/>
      <protection hidden="1"/>
    </xf>
    <xf numFmtId="172" fontId="3" fillId="25" borderId="0" xfId="89" applyNumberFormat="1" applyFont="1" applyFill="1" applyBorder="1" applyAlignment="1" applyProtection="1">
      <alignment horizontal="right"/>
      <protection hidden="1"/>
    </xf>
    <xf numFmtId="0" fontId="3" fillId="0" borderId="0" xfId="89" applyFont="1" applyProtection="1">
      <alignment/>
      <protection/>
    </xf>
    <xf numFmtId="178" fontId="9" fillId="4" borderId="0" xfId="89" applyNumberFormat="1" applyFont="1" applyFill="1" applyBorder="1" applyProtection="1">
      <alignment/>
      <protection hidden="1"/>
    </xf>
    <xf numFmtId="1" fontId="64" fillId="0" borderId="0" xfId="89" applyNumberFormat="1" applyFont="1" applyAlignment="1">
      <alignment horizontal="right"/>
      <protection/>
    </xf>
    <xf numFmtId="1" fontId="64" fillId="24" borderId="0" xfId="89" applyNumberFormat="1" applyFont="1" applyFill="1" applyBorder="1" applyProtection="1">
      <alignment/>
      <protection locked="0"/>
    </xf>
    <xf numFmtId="0" fontId="64" fillId="24" borderId="0" xfId="89" applyFont="1" applyFill="1" applyBorder="1" applyProtection="1">
      <alignment/>
      <protection locked="0"/>
    </xf>
    <xf numFmtId="173" fontId="3" fillId="8" borderId="0" xfId="84" applyNumberFormat="1" applyFont="1" applyFill="1" applyBorder="1" applyProtection="1">
      <alignment/>
      <protection hidden="1"/>
    </xf>
    <xf numFmtId="0" fontId="9" fillId="25" borderId="0" xfId="84" applyFont="1" applyFill="1">
      <alignment/>
      <protection/>
    </xf>
    <xf numFmtId="172" fontId="9" fillId="25" borderId="0" xfId="84" applyNumberFormat="1" applyFont="1" applyFill="1" applyBorder="1" applyProtection="1">
      <alignment/>
      <protection hidden="1"/>
    </xf>
    <xf numFmtId="0" fontId="3" fillId="25" borderId="0" xfId="84" applyFont="1" applyFill="1" applyAlignment="1">
      <alignment horizontal="center"/>
      <protection/>
    </xf>
    <xf numFmtId="172" fontId="3" fillId="0" borderId="0" xfId="84" applyNumberFormat="1" applyFont="1" applyAlignment="1">
      <alignment horizontal="right"/>
      <protection/>
    </xf>
    <xf numFmtId="173" fontId="3" fillId="0" borderId="0" xfId="84" applyNumberFormat="1" applyFont="1" applyProtection="1">
      <alignment/>
      <protection locked="0"/>
    </xf>
    <xf numFmtId="178" fontId="3" fillId="22" borderId="0" xfId="89" applyNumberFormat="1" applyFont="1" applyFill="1">
      <alignment/>
      <protection/>
    </xf>
    <xf numFmtId="178" fontId="3" fillId="8" borderId="0" xfId="84" applyNumberFormat="1" applyFont="1" applyFill="1" applyBorder="1" applyProtection="1">
      <alignment/>
      <protection hidden="1"/>
    </xf>
    <xf numFmtId="49" fontId="9" fillId="25" borderId="0" xfId="84" applyNumberFormat="1" applyFont="1" applyFill="1" applyAlignment="1" applyProtection="1">
      <alignment vertical="center"/>
      <protection/>
    </xf>
    <xf numFmtId="0" fontId="9" fillId="25" borderId="0" xfId="89" applyFont="1" applyFill="1" applyBorder="1" applyProtection="1">
      <alignment/>
      <protection locked="0"/>
    </xf>
    <xf numFmtId="0" fontId="7" fillId="24" borderId="19" xfId="89" applyFont="1" applyFill="1" applyBorder="1">
      <alignment/>
      <protection/>
    </xf>
    <xf numFmtId="177" fontId="9" fillId="25" borderId="0" xfId="81" applyNumberFormat="1" applyFont="1" applyFill="1" applyBorder="1" applyAlignment="1" applyProtection="1">
      <alignment horizontal="center" wrapText="1"/>
      <protection locked="0"/>
    </xf>
    <xf numFmtId="0" fontId="0" fillId="25" borderId="0" xfId="84" applyFill="1" applyBorder="1">
      <alignment/>
      <protection/>
    </xf>
    <xf numFmtId="0" fontId="3" fillId="0" borderId="0" xfId="0" applyFont="1" applyAlignment="1">
      <alignment/>
    </xf>
    <xf numFmtId="0" fontId="3" fillId="0" borderId="0" xfId="111" applyProtection="1">
      <alignment/>
      <protection locked="0"/>
    </xf>
    <xf numFmtId="0" fontId="0" fillId="0" borderId="0" xfId="0" applyFont="1" applyAlignment="1">
      <alignment/>
    </xf>
    <xf numFmtId="0" fontId="20" fillId="28" borderId="0" xfId="0" applyFont="1" applyFill="1" applyAlignment="1">
      <alignment horizontal="centerContinuous"/>
    </xf>
    <xf numFmtId="0" fontId="3" fillId="0" borderId="0" xfId="0" applyFont="1" applyFill="1" applyBorder="1" applyAlignment="1">
      <alignment/>
    </xf>
    <xf numFmtId="0" fontId="3" fillId="22" borderId="18" xfId="0" applyFont="1" applyFill="1" applyBorder="1" applyAlignment="1" applyProtection="1">
      <alignment/>
      <protection locked="0"/>
    </xf>
    <xf numFmtId="0" fontId="3" fillId="0" borderId="0" xfId="0" applyFont="1" applyFill="1" applyBorder="1" applyAlignment="1" applyProtection="1">
      <alignment/>
      <protection locked="0"/>
    </xf>
    <xf numFmtId="0" fontId="3" fillId="4" borderId="26" xfId="0" applyFont="1" applyFill="1" applyBorder="1" applyAlignment="1" applyProtection="1">
      <alignment/>
      <protection hidden="1"/>
    </xf>
    <xf numFmtId="0" fontId="3" fillId="29" borderId="26" xfId="0" applyFont="1" applyFill="1" applyBorder="1" applyAlignment="1" applyProtection="1">
      <alignment/>
      <protection hidden="1"/>
    </xf>
    <xf numFmtId="0" fontId="3" fillId="4" borderId="0" xfId="0" applyFont="1" applyFill="1" applyBorder="1" applyAlignment="1" applyProtection="1">
      <alignment/>
      <protection hidden="1"/>
    </xf>
    <xf numFmtId="1" fontId="3" fillId="29" borderId="16" xfId="0" applyNumberFormat="1" applyFont="1" applyFill="1" applyBorder="1" applyAlignment="1" applyProtection="1">
      <alignment/>
      <protection hidden="1"/>
    </xf>
    <xf numFmtId="0" fontId="3" fillId="29" borderId="0" xfId="0" applyFont="1" applyFill="1" applyBorder="1" applyAlignment="1" applyProtection="1">
      <alignment/>
      <protection hidden="1"/>
    </xf>
    <xf numFmtId="0" fontId="33" fillId="4" borderId="0" xfId="0" applyFont="1" applyFill="1" applyBorder="1" applyAlignment="1" applyProtection="1">
      <alignment/>
      <protection hidden="1"/>
    </xf>
    <xf numFmtId="0" fontId="33" fillId="29" borderId="0" xfId="0" applyFont="1" applyFill="1" applyBorder="1" applyAlignment="1" applyProtection="1">
      <alignment/>
      <protection hidden="1"/>
    </xf>
    <xf numFmtId="0" fontId="3" fillId="24" borderId="26" xfId="0" applyFont="1" applyFill="1" applyBorder="1" applyAlignment="1" applyProtection="1">
      <alignment/>
      <protection locked="0"/>
    </xf>
    <xf numFmtId="1" fontId="3" fillId="4" borderId="10" xfId="0" applyNumberFormat="1" applyFont="1" applyFill="1" applyBorder="1" applyAlignment="1" applyProtection="1">
      <alignment/>
      <protection hidden="1"/>
    </xf>
    <xf numFmtId="1" fontId="3" fillId="29" borderId="10" xfId="0" applyNumberFormat="1" applyFont="1" applyFill="1" applyBorder="1" applyAlignment="1" applyProtection="1">
      <alignment/>
      <protection hidden="1"/>
    </xf>
    <xf numFmtId="0" fontId="3" fillId="24" borderId="0" xfId="0" applyFont="1" applyFill="1" applyBorder="1" applyAlignment="1" applyProtection="1">
      <alignment/>
      <protection locked="0"/>
    </xf>
    <xf numFmtId="1" fontId="3" fillId="4" borderId="16" xfId="0" applyNumberFormat="1" applyFont="1" applyFill="1" applyBorder="1" applyAlignment="1" applyProtection="1">
      <alignment/>
      <protection hidden="1"/>
    </xf>
    <xf numFmtId="0" fontId="9" fillId="24" borderId="0" xfId="0" applyFont="1" applyFill="1" applyBorder="1" applyAlignment="1" applyProtection="1">
      <alignment/>
      <protection locked="0"/>
    </xf>
    <xf numFmtId="0" fontId="33" fillId="0" borderId="0" xfId="0" applyFont="1" applyFill="1" applyBorder="1" applyAlignment="1" applyProtection="1">
      <alignment/>
      <protection locked="0"/>
    </xf>
    <xf numFmtId="0" fontId="33" fillId="4" borderId="16" xfId="0" applyFont="1" applyFill="1" applyBorder="1" applyAlignment="1" applyProtection="1">
      <alignment/>
      <protection hidden="1"/>
    </xf>
    <xf numFmtId="0" fontId="33" fillId="29" borderId="16" xfId="0" applyFont="1" applyFill="1" applyBorder="1" applyAlignment="1" applyProtection="1">
      <alignment/>
      <protection hidden="1"/>
    </xf>
    <xf numFmtId="0" fontId="0" fillId="4" borderId="0" xfId="0" applyFill="1" applyBorder="1" applyAlignment="1">
      <alignment/>
    </xf>
    <xf numFmtId="173" fontId="3" fillId="0" borderId="0" xfId="0" applyNumberFormat="1" applyFont="1" applyAlignment="1">
      <alignment/>
    </xf>
    <xf numFmtId="0" fontId="3" fillId="22" borderId="17" xfId="0" applyFont="1" applyFill="1" applyBorder="1" applyAlignment="1" applyProtection="1">
      <alignment/>
      <protection locked="0"/>
    </xf>
    <xf numFmtId="0" fontId="3" fillId="22" borderId="0" xfId="0" applyFont="1" applyFill="1" applyAlignment="1" applyProtection="1">
      <alignment/>
      <protection locked="0"/>
    </xf>
    <xf numFmtId="0" fontId="3" fillId="4" borderId="0" xfId="0" applyFont="1" applyFill="1" applyBorder="1" applyAlignment="1" applyProtection="1">
      <alignment horizontal="right"/>
      <protection hidden="1"/>
    </xf>
    <xf numFmtId="178" fontId="3" fillId="4" borderId="0" xfId="0" applyNumberFormat="1" applyFont="1" applyFill="1" applyBorder="1" applyAlignment="1" applyProtection="1">
      <alignment/>
      <protection hidden="1"/>
    </xf>
    <xf numFmtId="173" fontId="3" fillId="0" borderId="0" xfId="0" applyNumberFormat="1" applyFont="1" applyFill="1" applyBorder="1" applyAlignment="1" applyProtection="1">
      <alignment/>
      <protection hidden="1"/>
    </xf>
    <xf numFmtId="173" fontId="3" fillId="4" borderId="0" xfId="0" applyNumberFormat="1" applyFont="1" applyFill="1" applyBorder="1" applyAlignment="1" applyProtection="1">
      <alignment/>
      <protection hidden="1"/>
    </xf>
    <xf numFmtId="177" fontId="3" fillId="25" borderId="0" xfId="84" applyNumberFormat="1" applyFont="1" applyFill="1" applyBorder="1" applyProtection="1">
      <alignment/>
      <protection hidden="1"/>
    </xf>
    <xf numFmtId="2" fontId="3" fillId="0" borderId="18" xfId="81" applyNumberFormat="1" applyFont="1" applyFill="1" applyBorder="1" applyProtection="1">
      <alignment/>
      <protection hidden="1"/>
    </xf>
    <xf numFmtId="2" fontId="3" fillId="0" borderId="17" xfId="81" applyNumberFormat="1" applyFont="1" applyFill="1" applyBorder="1" applyProtection="1">
      <alignment/>
      <protection hidden="1"/>
    </xf>
    <xf numFmtId="0" fontId="3" fillId="25" borderId="16" xfId="0" applyFont="1" applyFill="1" applyBorder="1" applyAlignment="1" applyProtection="1">
      <alignment/>
      <protection hidden="1"/>
    </xf>
    <xf numFmtId="178" fontId="3" fillId="0" borderId="0" xfId="0" applyNumberFormat="1" applyFont="1" applyAlignment="1">
      <alignment/>
    </xf>
    <xf numFmtId="0" fontId="7" fillId="25" borderId="0" xfId="89" applyFont="1" applyFill="1">
      <alignment/>
      <protection/>
    </xf>
    <xf numFmtId="173" fontId="7" fillId="25" borderId="0" xfId="89" applyNumberFormat="1" applyFont="1" applyFill="1">
      <alignment/>
      <protection/>
    </xf>
    <xf numFmtId="173" fontId="7" fillId="25" borderId="0" xfId="89" applyNumberFormat="1" applyFont="1" applyFill="1" applyProtection="1">
      <alignment/>
      <protection hidden="1"/>
    </xf>
    <xf numFmtId="2" fontId="7" fillId="25" borderId="0" xfId="89" applyNumberFormat="1" applyFont="1" applyFill="1">
      <alignment/>
      <protection/>
    </xf>
    <xf numFmtId="2" fontId="9" fillId="4" borderId="0" xfId="89" applyNumberFormat="1" applyFont="1" applyFill="1" applyBorder="1" applyProtection="1">
      <alignment/>
      <protection hidden="1"/>
    </xf>
    <xf numFmtId="173" fontId="3" fillId="22" borderId="0" xfId="89" applyNumberFormat="1" applyFont="1" applyFill="1">
      <alignment/>
      <protection/>
    </xf>
    <xf numFmtId="0" fontId="33" fillId="10" borderId="0" xfId="89" applyFont="1" applyFill="1" applyBorder="1" applyProtection="1">
      <alignment/>
      <protection locked="0"/>
    </xf>
    <xf numFmtId="0" fontId="41" fillId="10" borderId="0" xfId="89" applyFont="1" applyFill="1" applyBorder="1" applyProtection="1">
      <alignment/>
      <protection locked="0"/>
    </xf>
    <xf numFmtId="0" fontId="33" fillId="10" borderId="16" xfId="89" applyFont="1" applyFill="1" applyBorder="1" applyProtection="1">
      <alignment/>
      <protection hidden="1"/>
    </xf>
    <xf numFmtId="0" fontId="41" fillId="10" borderId="0" xfId="89" applyFont="1" applyFill="1" applyBorder="1" applyProtection="1">
      <alignment/>
      <protection hidden="1"/>
    </xf>
    <xf numFmtId="0" fontId="33" fillId="10" borderId="0" xfId="89" applyFont="1" applyFill="1" applyBorder="1" applyProtection="1">
      <alignment/>
      <protection hidden="1"/>
    </xf>
    <xf numFmtId="0" fontId="3" fillId="25" borderId="0" xfId="89" applyFont="1" applyFill="1" applyAlignment="1" applyProtection="1">
      <alignment/>
      <protection hidden="1"/>
    </xf>
    <xf numFmtId="0" fontId="3" fillId="25" borderId="0" xfId="89" applyFont="1" applyFill="1" applyBorder="1" applyAlignment="1" applyProtection="1">
      <alignment horizontal="center"/>
      <protection hidden="1"/>
    </xf>
    <xf numFmtId="0" fontId="9" fillId="25" borderId="0" xfId="89" applyFont="1" applyFill="1">
      <alignment/>
      <protection/>
    </xf>
    <xf numFmtId="0" fontId="9" fillId="25" borderId="0" xfId="89" applyFont="1" applyFill="1" applyBorder="1" applyAlignment="1" applyProtection="1">
      <alignment horizontal="center"/>
      <protection hidden="1"/>
    </xf>
    <xf numFmtId="0" fontId="3" fillId="25" borderId="0" xfId="0" applyFont="1" applyFill="1" applyAlignment="1" applyProtection="1">
      <alignment/>
      <protection hidden="1"/>
    </xf>
    <xf numFmtId="0" fontId="7" fillId="25" borderId="0" xfId="89" applyFont="1" applyFill="1" applyProtection="1">
      <alignment/>
      <protection hidden="1"/>
    </xf>
    <xf numFmtId="0" fontId="3" fillId="25" borderId="0" xfId="89" applyFont="1" applyFill="1" applyBorder="1" applyAlignment="1" applyProtection="1">
      <alignment/>
      <protection hidden="1"/>
    </xf>
    <xf numFmtId="0" fontId="3" fillId="25" borderId="0" xfId="0" applyFont="1" applyFill="1" applyAlignment="1" applyProtection="1">
      <alignment/>
      <protection hidden="1"/>
    </xf>
    <xf numFmtId="0" fontId="3" fillId="22" borderId="0" xfId="0" applyFont="1" applyFill="1" applyAlignment="1" applyProtection="1">
      <alignment/>
      <protection locked="0"/>
    </xf>
    <xf numFmtId="0" fontId="3" fillId="25" borderId="0" xfId="89" applyFont="1" applyFill="1" applyAlignment="1" applyProtection="1">
      <alignment/>
      <protection hidden="1"/>
    </xf>
    <xf numFmtId="0" fontId="3" fillId="25" borderId="0" xfId="89" applyFont="1" applyFill="1" applyAlignment="1" applyProtection="1">
      <alignment horizontal="left"/>
      <protection hidden="1"/>
    </xf>
    <xf numFmtId="0" fontId="0" fillId="25" borderId="0" xfId="0" applyFill="1" applyAlignment="1" applyProtection="1">
      <alignment horizontal="left"/>
      <protection hidden="1"/>
    </xf>
    <xf numFmtId="0" fontId="3" fillId="0" borderId="27" xfId="89" applyFont="1" applyBorder="1" applyAlignment="1" applyProtection="1">
      <alignment horizontal="center"/>
      <protection hidden="1"/>
    </xf>
    <xf numFmtId="0" fontId="3" fillId="0" borderId="21" xfId="89" applyFont="1" applyBorder="1" applyProtection="1">
      <alignment/>
      <protection hidden="1" locked="0"/>
    </xf>
    <xf numFmtId="0" fontId="107" fillId="25" borderId="0" xfId="89" applyFont="1" applyFill="1">
      <alignment/>
      <protection/>
    </xf>
    <xf numFmtId="0" fontId="0" fillId="0" borderId="0" xfId="0" applyBorder="1" applyAlignment="1" applyProtection="1">
      <alignment horizontal="center"/>
      <protection/>
    </xf>
    <xf numFmtId="0" fontId="39" fillId="25" borderId="0" xfId="0" applyFont="1" applyFill="1" applyAlignment="1">
      <alignment vertical="top" wrapText="1"/>
    </xf>
    <xf numFmtId="0" fontId="107" fillId="25" borderId="0" xfId="0" applyFont="1" applyFill="1" applyAlignment="1">
      <alignment wrapText="1"/>
    </xf>
    <xf numFmtId="0" fontId="39" fillId="25" borderId="0" xfId="76" applyFont="1" applyFill="1" applyAlignment="1">
      <alignment horizontal="right" wrapText="1"/>
      <protection/>
    </xf>
    <xf numFmtId="0" fontId="39" fillId="25" borderId="0" xfId="76" applyFont="1" applyFill="1" applyAlignment="1" applyProtection="1">
      <alignment wrapText="1"/>
      <protection hidden="1"/>
    </xf>
    <xf numFmtId="0" fontId="39" fillId="25" borderId="0" xfId="76" applyFont="1" applyFill="1" applyAlignment="1">
      <alignment horizontal="left" wrapText="1"/>
      <protection/>
    </xf>
    <xf numFmtId="0" fontId="107" fillId="25" borderId="0" xfId="0" applyFont="1" applyFill="1" applyAlignment="1">
      <alignment horizontal="left" wrapText="1"/>
    </xf>
    <xf numFmtId="0" fontId="108" fillId="25" borderId="0" xfId="89" applyFont="1" applyFill="1" applyAlignment="1" applyProtection="1">
      <alignment horizontal="left"/>
      <protection/>
    </xf>
    <xf numFmtId="0" fontId="0" fillId="25" borderId="0" xfId="0" applyFill="1" applyAlignment="1">
      <alignment horizontal="right"/>
    </xf>
    <xf numFmtId="0" fontId="3" fillId="25" borderId="0" xfId="89" applyFont="1" applyFill="1" applyBorder="1" applyProtection="1">
      <alignment/>
      <protection locked="0"/>
    </xf>
    <xf numFmtId="172" fontId="3" fillId="25" borderId="0" xfId="89" applyNumberFormat="1" applyFont="1" applyFill="1" applyBorder="1" applyAlignment="1" applyProtection="1">
      <alignment horizontal="center"/>
      <protection hidden="1"/>
    </xf>
    <xf numFmtId="1" fontId="3" fillId="0" borderId="0" xfId="89" applyNumberFormat="1" applyFont="1" applyFill="1" applyBorder="1" applyAlignment="1" applyProtection="1">
      <alignment/>
      <protection locked="0"/>
    </xf>
    <xf numFmtId="0" fontId="17" fillId="25" borderId="0" xfId="89" applyFont="1" applyFill="1" applyBorder="1" applyAlignment="1" applyProtection="1">
      <alignment horizontal="right"/>
      <protection/>
    </xf>
    <xf numFmtId="0" fontId="0" fillId="25" borderId="16" xfId="89" applyFill="1" applyBorder="1">
      <alignment/>
      <protection/>
    </xf>
    <xf numFmtId="0" fontId="0" fillId="25" borderId="15" xfId="89" applyFill="1" applyBorder="1">
      <alignment/>
      <protection/>
    </xf>
    <xf numFmtId="0" fontId="0" fillId="25" borderId="10" xfId="89" applyFill="1" applyBorder="1">
      <alignment/>
      <protection/>
    </xf>
    <xf numFmtId="1" fontId="3" fillId="0" borderId="18" xfId="76" applyNumberFormat="1" applyFont="1" applyFill="1" applyBorder="1" applyProtection="1">
      <alignment/>
      <protection locked="0"/>
    </xf>
    <xf numFmtId="0" fontId="33" fillId="0" borderId="18" xfId="89" applyFont="1" applyFill="1" applyBorder="1" applyProtection="1">
      <alignment/>
      <protection hidden="1"/>
    </xf>
    <xf numFmtId="0" fontId="3" fillId="0" borderId="18" xfId="89" applyFont="1" applyFill="1" applyBorder="1" applyProtection="1">
      <alignment/>
      <protection locked="0"/>
    </xf>
    <xf numFmtId="1" fontId="8" fillId="0" borderId="14" xfId="89" applyNumberFormat="1" applyFont="1" applyFill="1" applyBorder="1" applyProtection="1">
      <alignment/>
      <protection hidden="1"/>
    </xf>
    <xf numFmtId="1" fontId="8" fillId="0" borderId="0" xfId="89" applyNumberFormat="1" applyFont="1" applyFill="1" applyBorder="1" applyProtection="1">
      <alignment/>
      <protection hidden="1"/>
    </xf>
    <xf numFmtId="0" fontId="42" fillId="0" borderId="18" xfId="89" applyFont="1" applyFill="1" applyBorder="1" applyAlignment="1" applyProtection="1">
      <alignment horizontal="right"/>
      <protection hidden="1"/>
    </xf>
    <xf numFmtId="0" fontId="0" fillId="25" borderId="20" xfId="89" applyFill="1" applyBorder="1">
      <alignment/>
      <protection/>
    </xf>
    <xf numFmtId="1" fontId="4" fillId="0" borderId="0" xfId="89" applyNumberFormat="1" applyFont="1" applyAlignment="1" applyProtection="1">
      <alignment vertical="top" wrapText="1"/>
      <protection locked="0"/>
    </xf>
    <xf numFmtId="0" fontId="0" fillId="25" borderId="13" xfId="89" applyFont="1" applyFill="1" applyBorder="1" applyProtection="1">
      <alignment/>
      <protection hidden="1"/>
    </xf>
    <xf numFmtId="0" fontId="38" fillId="0" borderId="0" xfId="89" applyFont="1" applyFill="1" applyBorder="1" applyAlignment="1" applyProtection="1">
      <alignment horizontal="center"/>
      <protection hidden="1"/>
    </xf>
    <xf numFmtId="0" fontId="11" fillId="25" borderId="0" xfId="89" applyFont="1" applyFill="1" applyBorder="1" applyAlignment="1" applyProtection="1">
      <alignment horizontal="right"/>
      <protection/>
    </xf>
    <xf numFmtId="0" fontId="37" fillId="0" borderId="16" xfId="89" applyFont="1" applyFill="1" applyBorder="1" applyAlignment="1" applyProtection="1">
      <alignment horizontal="center"/>
      <protection/>
    </xf>
    <xf numFmtId="0" fontId="37" fillId="0" borderId="16" xfId="89" applyFont="1" applyFill="1" applyBorder="1" applyProtection="1">
      <alignment/>
      <protection/>
    </xf>
    <xf numFmtId="0" fontId="0" fillId="0" borderId="16" xfId="89" applyBorder="1" applyProtection="1">
      <alignment/>
      <protection locked="0"/>
    </xf>
    <xf numFmtId="0" fontId="0" fillId="0" borderId="16" xfId="89" applyFill="1" applyBorder="1" applyProtection="1">
      <alignment/>
      <protection locked="0"/>
    </xf>
    <xf numFmtId="0" fontId="0" fillId="22" borderId="16" xfId="89" applyFont="1" applyFill="1" applyBorder="1" applyProtection="1">
      <alignment/>
      <protection locked="0"/>
    </xf>
    <xf numFmtId="0" fontId="0" fillId="0" borderId="16" xfId="89" applyFont="1" applyBorder="1" applyProtection="1">
      <alignment/>
      <protection locked="0"/>
    </xf>
    <xf numFmtId="0" fontId="38" fillId="0" borderId="17" xfId="89" applyFont="1" applyFill="1" applyBorder="1" applyAlignment="1" applyProtection="1">
      <alignment horizontal="center"/>
      <protection hidden="1"/>
    </xf>
    <xf numFmtId="172" fontId="9" fillId="22" borderId="17" xfId="89" applyNumberFormat="1" applyFont="1" applyFill="1" applyBorder="1" applyProtection="1">
      <alignment/>
      <protection/>
    </xf>
    <xf numFmtId="0" fontId="9" fillId="22" borderId="17" xfId="89" applyFont="1" applyFill="1" applyBorder="1" applyProtection="1">
      <alignment/>
      <protection locked="0"/>
    </xf>
    <xf numFmtId="1" fontId="9" fillId="0" borderId="17" xfId="89" applyNumberFormat="1" applyFont="1" applyFill="1" applyBorder="1" applyAlignment="1" applyProtection="1">
      <alignment/>
      <protection locked="0"/>
    </xf>
    <xf numFmtId="172" fontId="9" fillId="22" borderId="17" xfId="89" applyNumberFormat="1" applyFont="1" applyFill="1" applyBorder="1" applyProtection="1">
      <alignment/>
      <protection locked="0"/>
    </xf>
    <xf numFmtId="172" fontId="9" fillId="0" borderId="17" xfId="89" applyNumberFormat="1" applyFont="1" applyBorder="1" applyProtection="1">
      <alignment/>
      <protection locked="0"/>
    </xf>
    <xf numFmtId="0" fontId="9" fillId="0" borderId="17" xfId="89" applyFont="1" applyBorder="1" applyProtection="1">
      <alignment/>
      <protection locked="0"/>
    </xf>
    <xf numFmtId="172" fontId="9" fillId="22" borderId="17" xfId="111" applyNumberFormat="1" applyFont="1" applyFill="1" applyBorder="1" applyProtection="1">
      <alignment/>
      <protection locked="0"/>
    </xf>
    <xf numFmtId="0" fontId="3" fillId="22" borderId="0" xfId="89" applyFont="1" applyFill="1" applyBorder="1" applyProtection="1">
      <alignment/>
      <protection/>
    </xf>
    <xf numFmtId="0" fontId="10" fillId="25" borderId="26" xfId="84" applyFont="1" applyFill="1" applyBorder="1" applyAlignment="1" applyProtection="1">
      <alignment horizontal="center"/>
      <protection/>
    </xf>
    <xf numFmtId="172" fontId="109" fillId="25" borderId="26" xfId="84" applyNumberFormat="1" applyFont="1" applyFill="1" applyBorder="1" applyAlignment="1" applyProtection="1">
      <alignment horizontal="right"/>
      <protection hidden="1"/>
    </xf>
    <xf numFmtId="172" fontId="109" fillId="25" borderId="0" xfId="84" applyNumberFormat="1" applyFont="1" applyFill="1" applyBorder="1" applyAlignment="1" applyProtection="1">
      <alignment horizontal="right"/>
      <protection hidden="1"/>
    </xf>
    <xf numFmtId="1" fontId="3" fillId="25" borderId="27" xfId="84" applyNumberFormat="1" applyFont="1" applyFill="1" applyBorder="1" applyAlignment="1" applyProtection="1">
      <alignment/>
      <protection hidden="1"/>
    </xf>
    <xf numFmtId="172" fontId="39" fillId="25" borderId="0" xfId="84" applyNumberFormat="1" applyFont="1" applyFill="1" applyBorder="1" applyAlignment="1" applyProtection="1">
      <alignment horizontal="right"/>
      <protection hidden="1"/>
    </xf>
    <xf numFmtId="172" fontId="111" fillId="25" borderId="27" xfId="89" applyNumberFormat="1" applyFont="1" applyFill="1" applyBorder="1" applyAlignment="1" applyProtection="1">
      <alignment horizontal="right"/>
      <protection hidden="1"/>
    </xf>
    <xf numFmtId="172" fontId="112" fillId="25" borderId="21" xfId="89" applyNumberFormat="1" applyFont="1" applyFill="1" applyBorder="1" applyAlignment="1" applyProtection="1">
      <alignment horizontal="right"/>
      <protection hidden="1"/>
    </xf>
    <xf numFmtId="0" fontId="114" fillId="22" borderId="0" xfId="111" applyFont="1" applyFill="1" applyBorder="1" applyAlignment="1" applyProtection="1">
      <alignment horizontal="right"/>
      <protection locked="0"/>
    </xf>
    <xf numFmtId="0" fontId="115" fillId="25" borderId="0" xfId="121" applyFont="1" applyFill="1" applyBorder="1" applyAlignment="1" applyProtection="1">
      <alignment/>
      <protection hidden="1"/>
    </xf>
    <xf numFmtId="0" fontId="117" fillId="25" borderId="0" xfId="121" applyFont="1" applyFill="1" applyBorder="1" applyAlignment="1" applyProtection="1">
      <alignment/>
      <protection hidden="1"/>
    </xf>
    <xf numFmtId="172" fontId="119" fillId="25" borderId="0" xfId="121" applyNumberFormat="1" applyFont="1" applyFill="1" applyBorder="1" applyAlignment="1" applyProtection="1">
      <alignment horizontal="left"/>
      <protection hidden="1"/>
    </xf>
    <xf numFmtId="172" fontId="120" fillId="25" borderId="0" xfId="121" applyNumberFormat="1" applyFont="1" applyFill="1" applyBorder="1" applyAlignment="1" applyProtection="1">
      <alignment horizontal="left"/>
      <protection hidden="1"/>
    </xf>
    <xf numFmtId="172" fontId="65" fillId="0" borderId="0" xfId="111" applyNumberFormat="1" applyFont="1" applyBorder="1" applyAlignment="1" applyProtection="1">
      <alignment horizontal="right"/>
      <protection hidden="1"/>
    </xf>
    <xf numFmtId="172" fontId="7" fillId="25" borderId="0" xfId="121" applyNumberFormat="1" applyFont="1" applyFill="1" applyBorder="1" applyAlignment="1" applyProtection="1">
      <alignment horizontal="center"/>
      <protection hidden="1"/>
    </xf>
    <xf numFmtId="172" fontId="77" fillId="0" borderId="0" xfId="111" applyNumberFormat="1" applyFont="1" applyBorder="1" applyAlignment="1" applyProtection="1">
      <alignment horizontal="right"/>
      <protection hidden="1"/>
    </xf>
    <xf numFmtId="172" fontId="120" fillId="25" borderId="0" xfId="121" applyNumberFormat="1" applyFont="1" applyFill="1" applyBorder="1" applyAlignment="1" applyProtection="1">
      <alignment horizontal="center"/>
      <protection hidden="1"/>
    </xf>
    <xf numFmtId="172" fontId="109" fillId="0" borderId="0" xfId="111" applyNumberFormat="1" applyFont="1" applyBorder="1" applyAlignment="1" applyProtection="1">
      <alignment horizontal="right"/>
      <protection hidden="1"/>
    </xf>
    <xf numFmtId="173" fontId="0" fillId="25" borderId="0" xfId="0" applyNumberFormat="1" applyFill="1" applyBorder="1" applyAlignment="1" applyProtection="1">
      <alignment/>
      <protection hidden="1"/>
    </xf>
    <xf numFmtId="0" fontId="0" fillId="25" borderId="0" xfId="0" applyFill="1" applyBorder="1" applyAlignment="1" applyProtection="1">
      <alignment/>
      <protection hidden="1"/>
    </xf>
    <xf numFmtId="1" fontId="3" fillId="0" borderId="16" xfId="89" applyNumberFormat="1" applyFont="1" applyBorder="1" applyAlignment="1" applyProtection="1">
      <alignment/>
      <protection hidden="1"/>
    </xf>
    <xf numFmtId="0" fontId="5" fillId="25" borderId="0" xfId="97" applyFont="1" applyFill="1" applyBorder="1" applyAlignment="1" applyProtection="1">
      <alignment/>
      <protection/>
    </xf>
    <xf numFmtId="172" fontId="3" fillId="25" borderId="0" xfId="89" applyNumberFormat="1" applyFont="1" applyFill="1" applyBorder="1" applyAlignment="1" applyProtection="1">
      <alignment horizontal="left"/>
      <protection hidden="1"/>
    </xf>
    <xf numFmtId="0" fontId="54" fillId="25" borderId="0" xfId="0" applyFont="1" applyFill="1" applyBorder="1" applyAlignment="1" applyProtection="1">
      <alignment/>
      <protection hidden="1"/>
    </xf>
    <xf numFmtId="0" fontId="34" fillId="25" borderId="0" xfId="89" applyFont="1" applyFill="1" applyBorder="1" applyAlignment="1" applyProtection="1">
      <alignment/>
      <protection hidden="1"/>
    </xf>
    <xf numFmtId="0" fontId="118" fillId="25" borderId="18" xfId="121" applyFont="1" applyFill="1" applyBorder="1" applyAlignment="1" applyProtection="1">
      <alignment/>
      <protection hidden="1"/>
    </xf>
    <xf numFmtId="1" fontId="0" fillId="25" borderId="18" xfId="89" applyNumberFormat="1" applyFont="1" applyFill="1" applyBorder="1" applyAlignment="1" applyProtection="1">
      <alignment horizontal="left"/>
      <protection hidden="1"/>
    </xf>
    <xf numFmtId="172" fontId="3" fillId="25" borderId="18" xfId="89" applyNumberFormat="1" applyFont="1" applyFill="1" applyBorder="1" applyAlignment="1" applyProtection="1">
      <alignment horizontal="left"/>
      <protection hidden="1"/>
    </xf>
    <xf numFmtId="172" fontId="121" fillId="25" borderId="18" xfId="121" applyNumberFormat="1" applyFont="1" applyFill="1" applyBorder="1" applyAlignment="1" applyProtection="1">
      <alignment horizontal="left"/>
      <protection hidden="1"/>
    </xf>
    <xf numFmtId="0" fontId="7" fillId="0" borderId="13" xfId="84" applyFont="1" applyBorder="1" applyAlignment="1" applyProtection="1">
      <alignment horizontal="left"/>
      <protection hidden="1"/>
    </xf>
    <xf numFmtId="0" fontId="48" fillId="0" borderId="13" xfId="65" applyFont="1" applyBorder="1" applyAlignment="1" applyProtection="1">
      <alignment/>
      <protection/>
    </xf>
    <xf numFmtId="0" fontId="48" fillId="0" borderId="14" xfId="65" applyFont="1" applyBorder="1" applyAlignment="1" applyProtection="1">
      <alignment/>
      <protection/>
    </xf>
    <xf numFmtId="0" fontId="3" fillId="0" borderId="0" xfId="89" applyFont="1" applyFill="1" applyBorder="1" applyAlignment="1" applyProtection="1">
      <alignment horizontal="right"/>
      <protection hidden="1"/>
    </xf>
    <xf numFmtId="172" fontId="9" fillId="25" borderId="25" xfId="89" applyNumberFormat="1" applyFont="1" applyFill="1" applyBorder="1" applyAlignment="1" applyProtection="1">
      <alignment horizontal="right"/>
      <protection hidden="1"/>
    </xf>
    <xf numFmtId="172" fontId="9" fillId="25" borderId="18" xfId="89" applyNumberFormat="1" applyFont="1" applyFill="1" applyBorder="1" applyAlignment="1" applyProtection="1">
      <alignment horizontal="right"/>
      <protection hidden="1"/>
    </xf>
    <xf numFmtId="172" fontId="9" fillId="25" borderId="18" xfId="84" applyNumberFormat="1" applyFont="1" applyFill="1" applyBorder="1" applyAlignment="1" applyProtection="1">
      <alignment/>
      <protection hidden="1"/>
    </xf>
    <xf numFmtId="0" fontId="3" fillId="25" borderId="0" xfId="89" applyFont="1" applyFill="1" applyBorder="1">
      <alignment/>
      <protection/>
    </xf>
    <xf numFmtId="0" fontId="9" fillId="25" borderId="0" xfId="89" applyFont="1" applyFill="1" applyBorder="1">
      <alignment/>
      <protection/>
    </xf>
    <xf numFmtId="2" fontId="3" fillId="25" borderId="0" xfId="84" applyNumberFormat="1" applyFont="1" applyFill="1" applyBorder="1" applyAlignment="1" applyProtection="1">
      <alignment/>
      <protection hidden="1"/>
    </xf>
    <xf numFmtId="173" fontId="100" fillId="25" borderId="0" xfId="89" applyNumberFormat="1" applyFont="1" applyFill="1" applyBorder="1" applyAlignment="1" applyProtection="1">
      <alignment horizontal="right"/>
      <protection hidden="1"/>
    </xf>
    <xf numFmtId="0" fontId="3" fillId="22" borderId="25" xfId="89" applyNumberFormat="1" applyFont="1" applyFill="1" applyBorder="1" applyAlignment="1" applyProtection="1">
      <alignment horizontal="right"/>
      <protection locked="0"/>
    </xf>
    <xf numFmtId="0" fontId="9" fillId="22" borderId="13" xfId="111" applyFont="1" applyFill="1" applyBorder="1" applyAlignment="1" applyProtection="1">
      <alignment horizontal="right"/>
      <protection locked="0"/>
    </xf>
    <xf numFmtId="0" fontId="60" fillId="25" borderId="0" xfId="84" applyFont="1" applyFill="1" applyBorder="1" applyAlignment="1" applyProtection="1">
      <alignment/>
      <protection hidden="1"/>
    </xf>
    <xf numFmtId="0" fontId="113" fillId="25" borderId="0" xfId="0" applyFont="1" applyFill="1" applyBorder="1" applyAlignment="1" applyProtection="1">
      <alignment/>
      <protection hidden="1"/>
    </xf>
    <xf numFmtId="0" fontId="0" fillId="25" borderId="0" xfId="0" applyFill="1" applyBorder="1" applyAlignment="1" applyProtection="1">
      <alignment shrinkToFit="1"/>
      <protection/>
    </xf>
    <xf numFmtId="0" fontId="13" fillId="25" borderId="0" xfId="84" applyFont="1" applyFill="1" applyBorder="1" applyProtection="1">
      <alignment/>
      <protection hidden="1"/>
    </xf>
    <xf numFmtId="172" fontId="9" fillId="25" borderId="0" xfId="89" applyNumberFormat="1" applyFont="1" applyFill="1" applyBorder="1" applyAlignment="1" applyProtection="1">
      <alignment horizontal="right"/>
      <protection hidden="1"/>
    </xf>
    <xf numFmtId="172" fontId="9" fillId="25" borderId="0" xfId="84" applyNumberFormat="1" applyFont="1" applyFill="1" applyBorder="1" applyAlignment="1" applyProtection="1">
      <alignment/>
      <protection hidden="1"/>
    </xf>
    <xf numFmtId="2" fontId="9" fillId="25" borderId="0" xfId="111" applyNumberFormat="1" applyFont="1" applyFill="1" applyBorder="1">
      <alignment/>
      <protection/>
    </xf>
    <xf numFmtId="172" fontId="112" fillId="25" borderId="0" xfId="89" applyNumberFormat="1" applyFont="1" applyFill="1" applyBorder="1" applyAlignment="1" applyProtection="1">
      <alignment horizontal="right"/>
      <protection hidden="1"/>
    </xf>
    <xf numFmtId="0" fontId="64" fillId="25" borderId="0" xfId="0" applyFont="1" applyFill="1" applyBorder="1" applyAlignment="1" applyProtection="1">
      <alignment/>
      <protection hidden="1"/>
    </xf>
    <xf numFmtId="0" fontId="125" fillId="25" borderId="0" xfId="89" applyFont="1" applyFill="1" applyBorder="1" applyAlignment="1" applyProtection="1">
      <alignment horizontal="left"/>
      <protection hidden="1"/>
    </xf>
    <xf numFmtId="0" fontId="118" fillId="25" borderId="0" xfId="121" applyFont="1" applyFill="1" applyBorder="1" applyAlignment="1" applyProtection="1">
      <alignment/>
      <protection hidden="1"/>
    </xf>
    <xf numFmtId="1" fontId="0" fillId="25" borderId="0" xfId="89" applyNumberFormat="1" applyFont="1" applyFill="1" applyBorder="1" applyAlignment="1" applyProtection="1">
      <alignment horizontal="left"/>
      <protection hidden="1"/>
    </xf>
    <xf numFmtId="0" fontId="3" fillId="25" borderId="0" xfId="113" applyFill="1" applyProtection="1">
      <alignment/>
      <protection hidden="1"/>
    </xf>
    <xf numFmtId="0" fontId="105" fillId="25" borderId="0" xfId="99" applyFont="1" applyFill="1" applyAlignment="1" applyProtection="1">
      <alignment horizontal="centerContinuous"/>
      <protection hidden="1"/>
    </xf>
    <xf numFmtId="0" fontId="3" fillId="25" borderId="0" xfId="113" applyFill="1" applyAlignment="1" applyProtection="1">
      <alignment horizontal="centerContinuous"/>
      <protection hidden="1"/>
    </xf>
    <xf numFmtId="0" fontId="0" fillId="25" borderId="0" xfId="99" applyFont="1" applyFill="1" applyAlignment="1" applyProtection="1">
      <alignment horizontal="centerContinuous"/>
      <protection hidden="1"/>
    </xf>
    <xf numFmtId="0" fontId="3" fillId="25" borderId="0" xfId="99" applyFont="1" applyFill="1" applyAlignment="1" applyProtection="1">
      <alignment horizontal="centerContinuous"/>
      <protection/>
    </xf>
    <xf numFmtId="0" fontId="3" fillId="0" borderId="0" xfId="99" applyFont="1" applyFill="1" applyAlignment="1" applyProtection="1">
      <alignment horizontal="centerContinuous"/>
      <protection hidden="1"/>
    </xf>
    <xf numFmtId="0" fontId="3" fillId="0" borderId="0" xfId="113" applyProtection="1">
      <alignment/>
      <protection hidden="1"/>
    </xf>
    <xf numFmtId="0" fontId="3" fillId="0" borderId="0" xfId="99" applyFont="1" applyFill="1" applyAlignment="1" applyProtection="1">
      <alignment horizontal="centerContinuous"/>
      <protection/>
    </xf>
    <xf numFmtId="0" fontId="9" fillId="0" borderId="0" xfId="113" applyFont="1" applyAlignment="1" applyProtection="1">
      <alignment horizontal="center"/>
      <protection hidden="1"/>
    </xf>
    <xf numFmtId="0" fontId="3" fillId="0" borderId="0" xfId="113">
      <alignment/>
      <protection/>
    </xf>
    <xf numFmtId="0" fontId="3" fillId="25" borderId="0" xfId="113" applyFill="1">
      <alignment/>
      <protection/>
    </xf>
    <xf numFmtId="0" fontId="0" fillId="0" borderId="0" xfId="99" applyFill="1">
      <alignment/>
      <protection/>
    </xf>
    <xf numFmtId="0" fontId="0" fillId="0" borderId="0" xfId="99">
      <alignment/>
      <protection/>
    </xf>
    <xf numFmtId="0" fontId="3" fillId="25" borderId="0" xfId="99" applyFont="1" applyFill="1" applyAlignment="1" applyProtection="1">
      <alignment horizontal="centerContinuous"/>
      <protection hidden="1"/>
    </xf>
    <xf numFmtId="0" fontId="5" fillId="25" borderId="0" xfId="99" applyFont="1" applyFill="1" applyAlignment="1" applyProtection="1">
      <alignment horizontal="right"/>
      <protection/>
    </xf>
    <xf numFmtId="0" fontId="104" fillId="25" borderId="0" xfId="0" applyFont="1" applyFill="1" applyAlignment="1" applyProtection="1">
      <alignment/>
      <protection hidden="1"/>
    </xf>
    <xf numFmtId="0" fontId="6" fillId="25" borderId="0" xfId="99" applyFont="1" applyFill="1" applyProtection="1">
      <alignment/>
      <protection hidden="1"/>
    </xf>
    <xf numFmtId="0" fontId="6" fillId="25" borderId="0" xfId="99" applyFont="1" applyFill="1" applyBorder="1" applyProtection="1">
      <alignment/>
      <protection hidden="1"/>
    </xf>
    <xf numFmtId="0" fontId="3" fillId="0" borderId="0" xfId="113" applyFont="1" applyFill="1" applyAlignment="1" applyProtection="1">
      <alignment horizontal="center"/>
      <protection hidden="1"/>
    </xf>
    <xf numFmtId="0" fontId="3" fillId="0" borderId="0" xfId="113" applyFont="1" applyFill="1" applyAlignment="1" applyProtection="1">
      <alignment horizontal="left"/>
      <protection hidden="1"/>
    </xf>
    <xf numFmtId="0" fontId="0" fillId="0" borderId="0" xfId="99" applyFont="1" applyFill="1">
      <alignment/>
      <protection/>
    </xf>
    <xf numFmtId="0" fontId="6" fillId="0" borderId="0" xfId="113" applyFont="1" applyFill="1" applyAlignment="1" applyProtection="1">
      <alignment horizontal="center"/>
      <protection hidden="1"/>
    </xf>
    <xf numFmtId="0" fontId="6" fillId="0" borderId="0" xfId="113" applyFont="1" applyFill="1" applyAlignment="1" applyProtection="1">
      <alignment horizontal="left" shrinkToFit="1"/>
      <protection hidden="1"/>
    </xf>
    <xf numFmtId="0" fontId="6" fillId="0" borderId="0" xfId="113" applyFont="1" applyFill="1" applyAlignment="1" applyProtection="1">
      <alignment horizontal="center" shrinkToFit="1"/>
      <protection hidden="1"/>
    </xf>
    <xf numFmtId="0" fontId="6" fillId="25" borderId="0" xfId="113" applyFont="1" applyFill="1" applyAlignment="1" applyProtection="1">
      <alignment/>
      <protection hidden="1"/>
    </xf>
    <xf numFmtId="172" fontId="6" fillId="25" borderId="0" xfId="99" applyNumberFormat="1" applyFont="1" applyFill="1" applyAlignment="1" applyProtection="1">
      <alignment horizontal="right"/>
      <protection hidden="1"/>
    </xf>
    <xf numFmtId="0" fontId="5" fillId="25" borderId="0" xfId="99" applyFont="1" applyFill="1" applyAlignment="1" applyProtection="1">
      <alignment horizontal="right"/>
      <protection hidden="1"/>
    </xf>
    <xf numFmtId="0" fontId="11" fillId="0" borderId="0" xfId="0" applyFont="1" applyFill="1" applyAlignment="1">
      <alignment/>
    </xf>
    <xf numFmtId="0" fontId="0" fillId="0" borderId="0" xfId="99" applyFont="1" applyFill="1" applyAlignment="1" applyProtection="1">
      <alignment horizontal="centerContinuous"/>
      <protection hidden="1"/>
    </xf>
    <xf numFmtId="0" fontId="131" fillId="0" borderId="0" xfId="113" applyFont="1" applyFill="1" applyAlignment="1" applyProtection="1">
      <alignment horizontal="center"/>
      <protection hidden="1"/>
    </xf>
    <xf numFmtId="0" fontId="7" fillId="0" borderId="0" xfId="113" applyFont="1">
      <alignment/>
      <protection/>
    </xf>
    <xf numFmtId="0" fontId="132" fillId="0" borderId="0" xfId="113" applyFont="1">
      <alignment/>
      <protection/>
    </xf>
    <xf numFmtId="0" fontId="130" fillId="0" borderId="28" xfId="99" applyFont="1" applyFill="1" applyBorder="1" applyAlignment="1" applyProtection="1">
      <alignment horizontal="center"/>
      <protection hidden="1"/>
    </xf>
    <xf numFmtId="172" fontId="130" fillId="0" borderId="28" xfId="99" applyNumberFormat="1" applyFont="1" applyFill="1" applyBorder="1" applyAlignment="1" applyProtection="1">
      <alignment horizontal="center"/>
      <protection hidden="1"/>
    </xf>
    <xf numFmtId="172" fontId="130" fillId="0" borderId="28" xfId="99" applyNumberFormat="1" applyFont="1" applyBorder="1" applyAlignment="1" applyProtection="1">
      <alignment horizontal="center"/>
      <protection hidden="1"/>
    </xf>
    <xf numFmtId="0" fontId="130" fillId="0" borderId="28" xfId="99" applyFont="1" applyBorder="1" applyAlignment="1" applyProtection="1">
      <alignment horizontal="center"/>
      <protection hidden="1"/>
    </xf>
    <xf numFmtId="0" fontId="130" fillId="0" borderId="28" xfId="113" applyFont="1" applyBorder="1" applyAlignment="1" applyProtection="1">
      <alignment horizontal="center"/>
      <protection hidden="1"/>
    </xf>
    <xf numFmtId="0" fontId="130" fillId="0" borderId="29" xfId="113" applyFont="1" applyBorder="1" applyAlignment="1" applyProtection="1">
      <alignment horizontal="center"/>
      <protection hidden="1"/>
    </xf>
    <xf numFmtId="0" fontId="130" fillId="0" borderId="30" xfId="99" applyFont="1" applyFill="1" applyBorder="1" applyAlignment="1" applyProtection="1">
      <alignment horizontal="center"/>
      <protection hidden="1"/>
    </xf>
    <xf numFmtId="0" fontId="130" fillId="0" borderId="28" xfId="113" applyFont="1" applyFill="1" applyBorder="1" applyAlignment="1" applyProtection="1">
      <alignment horizontal="center"/>
      <protection hidden="1"/>
    </xf>
    <xf numFmtId="0" fontId="130" fillId="0" borderId="29" xfId="113" applyFont="1" applyFill="1" applyBorder="1" applyAlignment="1" applyProtection="1">
      <alignment horizontal="center"/>
      <protection hidden="1"/>
    </xf>
    <xf numFmtId="0" fontId="130" fillId="0" borderId="26" xfId="99" applyFont="1" applyFill="1" applyBorder="1" applyAlignment="1" applyProtection="1">
      <alignment horizontal="center"/>
      <protection hidden="1"/>
    </xf>
    <xf numFmtId="0" fontId="130" fillId="0" borderId="26" xfId="99" applyFont="1" applyBorder="1" applyAlignment="1" applyProtection="1">
      <alignment horizontal="center"/>
      <protection hidden="1"/>
    </xf>
    <xf numFmtId="0" fontId="133" fillId="0" borderId="0" xfId="99" applyFont="1" applyAlignment="1" applyProtection="1">
      <alignment horizontal="center"/>
      <protection locked="0"/>
    </xf>
    <xf numFmtId="0" fontId="6" fillId="0" borderId="0" xfId="99" applyFont="1" applyFill="1" applyAlignment="1" applyProtection="1">
      <alignment horizontal="center"/>
      <protection locked="0"/>
    </xf>
    <xf numFmtId="0" fontId="135" fillId="0" borderId="0" xfId="99" applyFont="1" applyFill="1" applyBorder="1" applyAlignment="1" applyProtection="1">
      <alignment horizontal="left"/>
      <protection hidden="1"/>
    </xf>
    <xf numFmtId="0" fontId="133" fillId="0" borderId="0" xfId="99" applyFont="1" applyFill="1" applyBorder="1" applyAlignment="1" applyProtection="1">
      <alignment horizontal="left"/>
      <protection hidden="1"/>
    </xf>
    <xf numFmtId="0" fontId="130" fillId="0" borderId="0" xfId="99" applyFont="1" applyFill="1" applyBorder="1" applyAlignment="1" applyProtection="1">
      <alignment horizontal="center"/>
      <protection hidden="1"/>
    </xf>
    <xf numFmtId="0" fontId="130" fillId="0" borderId="0" xfId="99" applyFont="1" applyBorder="1" applyAlignment="1" applyProtection="1">
      <alignment horizontal="center"/>
      <protection hidden="1"/>
    </xf>
    <xf numFmtId="0" fontId="130" fillId="0" borderId="0" xfId="113" applyFont="1" applyFill="1" applyBorder="1" applyAlignment="1" applyProtection="1">
      <alignment horizontal="center"/>
      <protection hidden="1"/>
    </xf>
    <xf numFmtId="0" fontId="130" fillId="0" borderId="31" xfId="99" applyFont="1" applyFill="1" applyBorder="1" applyAlignment="1" applyProtection="1">
      <alignment horizontal="center"/>
      <protection hidden="1"/>
    </xf>
    <xf numFmtId="0" fontId="130" fillId="0" borderId="32" xfId="99" applyFont="1" applyFill="1" applyBorder="1" applyAlignment="1" applyProtection="1">
      <alignment horizontal="center"/>
      <protection hidden="1"/>
    </xf>
    <xf numFmtId="0" fontId="130" fillId="26" borderId="0" xfId="99" applyFont="1" applyFill="1" applyBorder="1" applyAlignment="1" applyProtection="1">
      <alignment horizontal="center"/>
      <protection hidden="1"/>
    </xf>
    <xf numFmtId="0" fontId="133" fillId="0" borderId="0" xfId="99" applyFont="1" applyFill="1" applyBorder="1" applyAlignment="1" applyProtection="1">
      <alignment horizontal="center"/>
      <protection locked="0"/>
    </xf>
    <xf numFmtId="0" fontId="133" fillId="0" borderId="0" xfId="99" applyFont="1" applyFill="1" applyBorder="1" applyAlignment="1" applyProtection="1">
      <alignment horizontal="center"/>
      <protection/>
    </xf>
    <xf numFmtId="0" fontId="130" fillId="0" borderId="0" xfId="99" applyFont="1" applyFill="1" applyBorder="1" applyProtection="1">
      <alignment/>
      <protection locked="0"/>
    </xf>
    <xf numFmtId="0" fontId="130" fillId="24" borderId="0" xfId="99" applyFont="1" applyFill="1" applyBorder="1" applyProtection="1">
      <alignment/>
      <protection locked="0"/>
    </xf>
    <xf numFmtId="0" fontId="130" fillId="0" borderId="0" xfId="99" applyFont="1" applyBorder="1" applyProtection="1">
      <alignment/>
      <protection locked="0"/>
    </xf>
    <xf numFmtId="172" fontId="130" fillId="0" borderId="0" xfId="99" applyNumberFormat="1" applyFont="1" applyBorder="1" applyProtection="1">
      <alignment/>
      <protection locked="0"/>
    </xf>
    <xf numFmtId="0" fontId="10" fillId="24" borderId="0" xfId="113" applyFont="1" applyFill="1" applyBorder="1" applyProtection="1">
      <alignment/>
      <protection locked="0"/>
    </xf>
    <xf numFmtId="0" fontId="10" fillId="0" borderId="0" xfId="113" applyFont="1" applyBorder="1" applyProtection="1">
      <alignment/>
      <protection locked="0"/>
    </xf>
    <xf numFmtId="0" fontId="10" fillId="0" borderId="32" xfId="113" applyFont="1" applyBorder="1" applyProtection="1">
      <alignment/>
      <protection locked="0"/>
    </xf>
    <xf numFmtId="0" fontId="130" fillId="0" borderId="31" xfId="99" applyFont="1" applyFill="1" applyBorder="1" applyProtection="1">
      <alignment/>
      <protection hidden="1"/>
    </xf>
    <xf numFmtId="172" fontId="130" fillId="0" borderId="0" xfId="99" applyNumberFormat="1" applyFont="1" applyFill="1" applyBorder="1" applyProtection="1">
      <alignment/>
      <protection hidden="1"/>
    </xf>
    <xf numFmtId="0" fontId="130" fillId="0" borderId="0" xfId="99" applyFont="1" applyFill="1" applyBorder="1" applyProtection="1">
      <alignment/>
      <protection hidden="1"/>
    </xf>
    <xf numFmtId="0" fontId="130" fillId="0" borderId="32" xfId="99" applyFont="1" applyFill="1" applyBorder="1" applyProtection="1">
      <alignment/>
      <protection hidden="1"/>
    </xf>
    <xf numFmtId="172" fontId="130" fillId="26" borderId="0" xfId="99" applyNumberFormat="1" applyFont="1" applyFill="1" applyBorder="1" applyProtection="1">
      <alignment/>
      <protection hidden="1"/>
    </xf>
    <xf numFmtId="0" fontId="6" fillId="0" borderId="0" xfId="99" applyFont="1" applyBorder="1" applyProtection="1">
      <alignment/>
      <protection locked="0"/>
    </xf>
    <xf numFmtId="0" fontId="130" fillId="0" borderId="0" xfId="99" applyFont="1" applyFill="1" applyBorder="1" applyAlignment="1" applyProtection="1">
      <alignment horizontal="right"/>
      <protection locked="0"/>
    </xf>
    <xf numFmtId="172" fontId="130" fillId="24" borderId="0" xfId="99" applyNumberFormat="1" applyFont="1" applyFill="1" applyBorder="1" applyProtection="1">
      <alignment/>
      <protection locked="0"/>
    </xf>
    <xf numFmtId="0" fontId="130" fillId="0" borderId="0" xfId="99" applyFont="1" applyBorder="1" applyAlignment="1" applyProtection="1">
      <alignment horizontal="right"/>
      <protection locked="0"/>
    </xf>
    <xf numFmtId="0" fontId="6" fillId="0" borderId="16" xfId="99" applyFont="1" applyFill="1" applyBorder="1" applyProtection="1">
      <alignment/>
      <protection locked="0"/>
    </xf>
    <xf numFmtId="0" fontId="130" fillId="0" borderId="0" xfId="99" applyFont="1" applyFill="1" applyBorder="1" applyAlignment="1" applyProtection="1">
      <alignment horizontal="center"/>
      <protection locked="0"/>
    </xf>
    <xf numFmtId="0" fontId="6" fillId="0" borderId="0" xfId="99" applyFont="1" applyFill="1" applyAlignment="1" applyProtection="1">
      <alignment horizontal="right"/>
      <protection locked="0"/>
    </xf>
    <xf numFmtId="14" fontId="8" fillId="0" borderId="16" xfId="99" applyNumberFormat="1" applyFont="1" applyFill="1" applyBorder="1" applyAlignment="1" applyProtection="1">
      <alignment horizontal="left"/>
      <protection hidden="1"/>
    </xf>
    <xf numFmtId="172" fontId="130" fillId="0" borderId="0" xfId="99" applyNumberFormat="1" applyFont="1" applyFill="1" applyBorder="1" applyAlignment="1" applyProtection="1">
      <alignment horizontal="center"/>
      <protection hidden="1"/>
    </xf>
    <xf numFmtId="0" fontId="130" fillId="0" borderId="32" xfId="113" applyFont="1" applyFill="1" applyBorder="1" applyAlignment="1" applyProtection="1">
      <alignment horizontal="center"/>
      <protection hidden="1"/>
    </xf>
    <xf numFmtId="0" fontId="133" fillId="0" borderId="0" xfId="99" applyFont="1" applyFill="1" applyAlignment="1" applyProtection="1">
      <alignment horizontal="center"/>
      <protection locked="0"/>
    </xf>
    <xf numFmtId="0" fontId="136" fillId="0" borderId="0" xfId="99" applyFont="1" applyFill="1" applyAlignment="1" applyProtection="1">
      <alignment horizontal="center"/>
      <protection locked="0"/>
    </xf>
    <xf numFmtId="0" fontId="3" fillId="0" borderId="0" xfId="113" applyFill="1">
      <alignment/>
      <protection/>
    </xf>
    <xf numFmtId="0" fontId="6" fillId="0" borderId="16" xfId="99" applyFont="1" applyBorder="1" applyProtection="1">
      <alignment/>
      <protection locked="0"/>
    </xf>
    <xf numFmtId="0" fontId="130" fillId="0" borderId="0" xfId="99" applyFont="1" applyBorder="1" applyProtection="1">
      <alignment/>
      <protection hidden="1"/>
    </xf>
    <xf numFmtId="0" fontId="136" fillId="0" borderId="0" xfId="99" applyFont="1" applyAlignment="1" applyProtection="1">
      <alignment horizontal="right"/>
      <protection locked="0"/>
    </xf>
    <xf numFmtId="0" fontId="136" fillId="0" borderId="0" xfId="99" applyFont="1">
      <alignment/>
      <protection/>
    </xf>
    <xf numFmtId="0" fontId="130" fillId="0" borderId="0" xfId="99" applyFont="1">
      <alignment/>
      <protection/>
    </xf>
    <xf numFmtId="0" fontId="3" fillId="25" borderId="0" xfId="113" applyFill="1" applyProtection="1">
      <alignment/>
      <protection/>
    </xf>
    <xf numFmtId="2" fontId="137" fillId="0" borderId="0" xfId="99" applyNumberFormat="1" applyFont="1">
      <alignment/>
      <protection/>
    </xf>
    <xf numFmtId="0" fontId="9" fillId="25" borderId="0" xfId="113" applyFont="1" applyFill="1" applyProtection="1">
      <alignment/>
      <protection/>
    </xf>
    <xf numFmtId="0" fontId="130" fillId="24" borderId="0" xfId="99" applyFont="1" applyFill="1" applyBorder="1" applyAlignment="1" applyProtection="1">
      <alignment horizontal="right"/>
      <protection locked="0"/>
    </xf>
    <xf numFmtId="0" fontId="10" fillId="24" borderId="32" xfId="113" applyFont="1" applyFill="1" applyBorder="1" applyProtection="1">
      <alignment/>
      <protection locked="0"/>
    </xf>
    <xf numFmtId="0" fontId="3" fillId="24" borderId="0" xfId="113" applyFont="1" applyFill="1">
      <alignment/>
      <protection/>
    </xf>
    <xf numFmtId="0" fontId="3" fillId="0" borderId="0" xfId="113" applyFont="1" applyFill="1">
      <alignment/>
      <protection/>
    </xf>
    <xf numFmtId="0" fontId="3" fillId="24" borderId="0" xfId="113" applyFill="1">
      <alignment/>
      <protection/>
    </xf>
    <xf numFmtId="0" fontId="9" fillId="25" borderId="0" xfId="113" applyFont="1" applyFill="1" applyAlignment="1">
      <alignment horizontal="center"/>
      <protection/>
    </xf>
    <xf numFmtId="2" fontId="130" fillId="0" borderId="0" xfId="99" applyNumberFormat="1" applyFont="1">
      <alignment/>
      <protection/>
    </xf>
    <xf numFmtId="0" fontId="110" fillId="0" borderId="0" xfId="113" applyFont="1">
      <alignment/>
      <protection/>
    </xf>
    <xf numFmtId="0" fontId="15" fillId="0" borderId="16" xfId="93" applyFont="1" applyFill="1" applyBorder="1" applyAlignment="1" applyProtection="1">
      <alignment horizontal="right"/>
      <protection locked="0"/>
    </xf>
    <xf numFmtId="1" fontId="130" fillId="24" borderId="0" xfId="99" applyNumberFormat="1" applyFont="1" applyFill="1" applyBorder="1" applyProtection="1">
      <alignment/>
      <protection locked="0"/>
    </xf>
    <xf numFmtId="1" fontId="6" fillId="24" borderId="0" xfId="99" applyNumberFormat="1" applyFont="1" applyFill="1" applyProtection="1">
      <alignment/>
      <protection hidden="1"/>
    </xf>
    <xf numFmtId="0" fontId="136" fillId="0" borderId="0" xfId="99" applyFont="1" applyFill="1" applyProtection="1">
      <alignment/>
      <protection locked="0"/>
    </xf>
    <xf numFmtId="0" fontId="130" fillId="0" borderId="0" xfId="99" applyFont="1" applyFill="1">
      <alignment/>
      <protection/>
    </xf>
    <xf numFmtId="0" fontId="136" fillId="0" borderId="0" xfId="99" applyFont="1" applyFill="1">
      <alignment/>
      <protection/>
    </xf>
    <xf numFmtId="0" fontId="138" fillId="0" borderId="0" xfId="99" applyFont="1">
      <alignment/>
      <protection/>
    </xf>
    <xf numFmtId="0" fontId="74" fillId="0" borderId="0" xfId="99" applyFont="1">
      <alignment/>
      <protection/>
    </xf>
    <xf numFmtId="0" fontId="15" fillId="0" borderId="16" xfId="99" applyFont="1" applyBorder="1" applyAlignment="1" applyProtection="1">
      <alignment horizontal="right"/>
      <protection locked="0"/>
    </xf>
    <xf numFmtId="1" fontId="130" fillId="0" borderId="31" xfId="99" applyNumberFormat="1" applyFont="1" applyFill="1" applyBorder="1" applyProtection="1">
      <alignment/>
      <protection hidden="1"/>
    </xf>
    <xf numFmtId="0" fontId="10" fillId="0" borderId="0" xfId="113" applyFont="1" applyFill="1" applyBorder="1" applyProtection="1">
      <alignment/>
      <protection hidden="1"/>
    </xf>
    <xf numFmtId="0" fontId="10" fillId="0" borderId="0" xfId="113" applyFont="1" applyFill="1" applyBorder="1" applyAlignment="1" applyProtection="1">
      <alignment horizontal="center"/>
      <protection hidden="1"/>
    </xf>
    <xf numFmtId="0" fontId="10" fillId="0" borderId="0" xfId="113" applyFont="1" applyFill="1" applyBorder="1" applyAlignment="1" applyProtection="1">
      <alignment horizontal="left"/>
      <protection hidden="1"/>
    </xf>
    <xf numFmtId="0" fontId="10" fillId="0" borderId="32" xfId="113" applyFont="1" applyFill="1" applyBorder="1" applyAlignment="1" applyProtection="1">
      <alignment horizontal="center"/>
      <protection hidden="1"/>
    </xf>
    <xf numFmtId="0" fontId="6" fillId="0" borderId="0" xfId="99" applyFont="1" applyFill="1" applyBorder="1" applyProtection="1">
      <alignment/>
      <protection hidden="1"/>
    </xf>
    <xf numFmtId="0" fontId="9" fillId="0" borderId="0" xfId="99" applyFont="1" applyFill="1" applyBorder="1" applyAlignment="1" applyProtection="1">
      <alignment horizontal="center"/>
      <protection hidden="1"/>
    </xf>
    <xf numFmtId="172" fontId="130" fillId="0" borderId="0" xfId="99" applyNumberFormat="1" applyFont="1" applyBorder="1" applyAlignment="1" applyProtection="1">
      <alignment horizontal="right"/>
      <protection locked="0"/>
    </xf>
    <xf numFmtId="0" fontId="136" fillId="0" borderId="0" xfId="99" applyFont="1" applyProtection="1">
      <alignment/>
      <protection locked="0"/>
    </xf>
    <xf numFmtId="172" fontId="130" fillId="24" borderId="0" xfId="99" applyNumberFormat="1" applyFont="1" applyFill="1" applyBorder="1" applyAlignment="1" applyProtection="1">
      <alignment horizontal="right"/>
      <protection locked="0"/>
    </xf>
    <xf numFmtId="0" fontId="130" fillId="0" borderId="0" xfId="99" applyFont="1" applyFill="1" applyBorder="1" applyAlignment="1" applyProtection="1">
      <alignment horizontal="right"/>
      <protection hidden="1"/>
    </xf>
    <xf numFmtId="0" fontId="10" fillId="25" borderId="0" xfId="113" applyFont="1" applyFill="1" applyBorder="1" applyProtection="1">
      <alignment/>
      <protection hidden="1"/>
    </xf>
    <xf numFmtId="0" fontId="133" fillId="0" borderId="0" xfId="99" applyFont="1" applyFill="1" applyBorder="1" applyAlignment="1" applyProtection="1">
      <alignment horizontal="center"/>
      <protection hidden="1"/>
    </xf>
    <xf numFmtId="172" fontId="130" fillId="0" borderId="31" xfId="99" applyNumberFormat="1" applyFont="1" applyFill="1" applyBorder="1" applyProtection="1">
      <alignment/>
      <protection hidden="1"/>
    </xf>
    <xf numFmtId="0" fontId="6" fillId="0" borderId="0" xfId="99" applyFont="1" applyFill="1" applyBorder="1" applyProtection="1">
      <alignment/>
      <protection locked="0"/>
    </xf>
    <xf numFmtId="172" fontId="130" fillId="0" borderId="33" xfId="99" applyNumberFormat="1" applyFont="1" applyFill="1" applyBorder="1" applyProtection="1">
      <alignment/>
      <protection hidden="1"/>
    </xf>
    <xf numFmtId="172" fontId="130" fillId="0" borderId="34" xfId="99" applyNumberFormat="1" applyFont="1" applyFill="1" applyBorder="1" applyProtection="1">
      <alignment/>
      <protection hidden="1"/>
    </xf>
    <xf numFmtId="0" fontId="130" fillId="0" borderId="34" xfId="99" applyFont="1" applyFill="1" applyBorder="1" applyProtection="1">
      <alignment/>
      <protection hidden="1"/>
    </xf>
    <xf numFmtId="0" fontId="130" fillId="0" borderId="35" xfId="99" applyFont="1" applyFill="1" applyBorder="1" applyProtection="1">
      <alignment/>
      <protection hidden="1"/>
    </xf>
    <xf numFmtId="0" fontId="130" fillId="0" borderId="13" xfId="99" applyFont="1" applyFill="1" applyBorder="1" applyProtection="1">
      <alignment/>
      <protection hidden="1"/>
    </xf>
    <xf numFmtId="0" fontId="130" fillId="0" borderId="13" xfId="99" applyFont="1" applyBorder="1" applyProtection="1">
      <alignment/>
      <protection hidden="1"/>
    </xf>
    <xf numFmtId="0" fontId="6" fillId="0" borderId="0" xfId="99" applyFont="1" applyProtection="1">
      <alignment/>
      <protection locked="0"/>
    </xf>
    <xf numFmtId="0" fontId="3" fillId="25" borderId="0" xfId="113" applyFill="1" applyBorder="1" applyProtection="1">
      <alignment/>
      <protection hidden="1"/>
    </xf>
    <xf numFmtId="172" fontId="130" fillId="25" borderId="0" xfId="99" applyNumberFormat="1" applyFont="1" applyFill="1" applyBorder="1" applyProtection="1">
      <alignment/>
      <protection hidden="1"/>
    </xf>
    <xf numFmtId="172" fontId="130" fillId="25" borderId="0" xfId="99" applyNumberFormat="1" applyFont="1" applyFill="1" applyBorder="1" applyAlignment="1" applyProtection="1">
      <alignment horizontal="center"/>
      <protection hidden="1"/>
    </xf>
    <xf numFmtId="0" fontId="130" fillId="25" borderId="0" xfId="99" applyFont="1" applyFill="1" applyBorder="1" applyAlignment="1" applyProtection="1">
      <alignment horizontal="center"/>
      <protection hidden="1"/>
    </xf>
    <xf numFmtId="0" fontId="10" fillId="25" borderId="0" xfId="113" applyFont="1" applyFill="1" applyBorder="1" applyAlignment="1" applyProtection="1">
      <alignment horizontal="center"/>
      <protection hidden="1"/>
    </xf>
    <xf numFmtId="0" fontId="3" fillId="25" borderId="0" xfId="113" applyFont="1" applyFill="1" applyAlignment="1" applyProtection="1">
      <alignment horizontal="center"/>
      <protection hidden="1"/>
    </xf>
    <xf numFmtId="0" fontId="3" fillId="25" borderId="0" xfId="113" applyFont="1" applyFill="1">
      <alignment/>
      <protection/>
    </xf>
    <xf numFmtId="0" fontId="3" fillId="0" borderId="0" xfId="113" applyFill="1" applyAlignment="1">
      <alignment horizontal="left"/>
      <protection/>
    </xf>
    <xf numFmtId="0" fontId="6" fillId="0" borderId="0" xfId="99" applyFont="1" applyAlignment="1">
      <alignment horizontal="right"/>
      <protection/>
    </xf>
    <xf numFmtId="1" fontId="10" fillId="0" borderId="36" xfId="99" applyNumberFormat="1" applyFont="1" applyFill="1" applyBorder="1" applyAlignment="1" applyProtection="1">
      <alignment horizontal="center"/>
      <protection hidden="1"/>
    </xf>
    <xf numFmtId="172" fontId="10" fillId="0" borderId="36" xfId="99" applyNumberFormat="1" applyFont="1" applyFill="1" applyBorder="1" applyAlignment="1" applyProtection="1">
      <alignment horizontal="center"/>
      <protection hidden="1"/>
    </xf>
    <xf numFmtId="1" fontId="130" fillId="0" borderId="36" xfId="99" applyNumberFormat="1" applyFont="1" applyFill="1" applyBorder="1" applyAlignment="1" applyProtection="1">
      <alignment horizontal="center"/>
      <protection hidden="1"/>
    </xf>
    <xf numFmtId="0" fontId="10" fillId="0" borderId="0" xfId="99" applyFont="1" applyFill="1" applyAlignment="1" applyProtection="1">
      <alignment horizontal="left"/>
      <protection hidden="1"/>
    </xf>
    <xf numFmtId="172" fontId="130" fillId="0" borderId="34" xfId="99" applyNumberFormat="1" applyFont="1" applyFill="1" applyBorder="1" applyAlignment="1" applyProtection="1">
      <alignment horizontal="center"/>
      <protection hidden="1"/>
    </xf>
    <xf numFmtId="2" fontId="130" fillId="0" borderId="34" xfId="99" applyNumberFormat="1" applyFont="1" applyFill="1" applyBorder="1" applyAlignment="1" applyProtection="1">
      <alignment horizontal="center"/>
      <protection hidden="1"/>
    </xf>
    <xf numFmtId="173" fontId="130" fillId="0" borderId="35" xfId="99" applyNumberFormat="1" applyFont="1" applyFill="1" applyBorder="1" applyAlignment="1" applyProtection="1">
      <alignment horizontal="center"/>
      <protection hidden="1"/>
    </xf>
    <xf numFmtId="0" fontId="3" fillId="0" borderId="0" xfId="99" applyFont="1" applyFill="1" applyAlignment="1" applyProtection="1">
      <alignment horizontal="left"/>
      <protection hidden="1"/>
    </xf>
    <xf numFmtId="0" fontId="3" fillId="0" borderId="0" xfId="113" applyFill="1" applyBorder="1">
      <alignment/>
      <protection/>
    </xf>
    <xf numFmtId="0" fontId="133" fillId="0" borderId="0" xfId="113" applyFont="1">
      <alignment/>
      <protection/>
    </xf>
    <xf numFmtId="172" fontId="3" fillId="0" borderId="0" xfId="113" applyNumberFormat="1">
      <alignment/>
      <protection/>
    </xf>
    <xf numFmtId="0" fontId="6" fillId="0" borderId="0" xfId="99" applyFont="1" applyAlignment="1">
      <alignment horizontal="left"/>
      <protection/>
    </xf>
    <xf numFmtId="0" fontId="3" fillId="25" borderId="0" xfId="113" applyFont="1" applyFill="1" applyProtection="1">
      <alignment/>
      <protection hidden="1"/>
    </xf>
    <xf numFmtId="0" fontId="6" fillId="25" borderId="0" xfId="113" applyFont="1" applyFill="1" applyBorder="1">
      <alignment/>
      <protection/>
    </xf>
    <xf numFmtId="0" fontId="130" fillId="0" borderId="0" xfId="113" applyFont="1" applyProtection="1">
      <alignment/>
      <protection hidden="1"/>
    </xf>
    <xf numFmtId="0" fontId="6" fillId="25" borderId="0" xfId="99" applyFont="1" applyFill="1" applyBorder="1" applyAlignment="1" applyProtection="1">
      <alignment horizontal="center"/>
      <protection hidden="1"/>
    </xf>
    <xf numFmtId="172" fontId="6" fillId="25" borderId="0" xfId="99" applyNumberFormat="1" applyFont="1" applyFill="1" applyAlignment="1" applyProtection="1">
      <alignment/>
      <protection hidden="1"/>
    </xf>
    <xf numFmtId="0" fontId="30" fillId="25" borderId="0" xfId="113" applyFont="1" applyFill="1" applyProtection="1">
      <alignment/>
      <protection hidden="1"/>
    </xf>
    <xf numFmtId="0" fontId="0" fillId="0" borderId="0" xfId="0" applyAlignment="1" applyProtection="1">
      <alignment/>
      <protection hidden="1"/>
    </xf>
    <xf numFmtId="2" fontId="140" fillId="0" borderId="0" xfId="99" applyNumberFormat="1" applyFont="1">
      <alignment/>
      <protection/>
    </xf>
    <xf numFmtId="0" fontId="6" fillId="25" borderId="0" xfId="99" applyFont="1" applyFill="1" applyAlignment="1" applyProtection="1">
      <alignment/>
      <protection hidden="1"/>
    </xf>
    <xf numFmtId="0" fontId="6" fillId="25" borderId="0" xfId="113" applyFont="1" applyFill="1" applyProtection="1">
      <alignment/>
      <protection hidden="1"/>
    </xf>
    <xf numFmtId="0" fontId="6" fillId="25" borderId="0" xfId="99" applyFont="1" applyFill="1" applyBorder="1" applyAlignment="1" applyProtection="1">
      <alignment vertical="center"/>
      <protection hidden="1"/>
    </xf>
    <xf numFmtId="172" fontId="0" fillId="0" borderId="0" xfId="99" applyNumberFormat="1" applyFill="1">
      <alignment/>
      <protection/>
    </xf>
    <xf numFmtId="0" fontId="0" fillId="0" borderId="0" xfId="99" applyFont="1">
      <alignment/>
      <protection/>
    </xf>
    <xf numFmtId="0" fontId="130" fillId="0" borderId="31" xfId="99" applyFont="1" applyFill="1" applyBorder="1" applyAlignment="1" applyProtection="1">
      <alignment horizontal="center" vertical="center"/>
      <protection hidden="1"/>
    </xf>
    <xf numFmtId="0" fontId="130" fillId="0" borderId="0" xfId="99" applyFont="1" applyFill="1" applyBorder="1" applyAlignment="1" applyProtection="1">
      <alignment horizontal="center" vertical="center"/>
      <protection hidden="1"/>
    </xf>
    <xf numFmtId="0" fontId="130" fillId="0" borderId="0" xfId="113" applyFont="1" applyFill="1" applyBorder="1" applyAlignment="1" applyProtection="1">
      <alignment horizontal="center" vertical="center"/>
      <protection hidden="1"/>
    </xf>
    <xf numFmtId="0" fontId="130" fillId="0" borderId="32" xfId="113" applyFont="1" applyFill="1" applyBorder="1" applyAlignment="1" applyProtection="1">
      <alignment horizontal="center" vertical="center"/>
      <protection hidden="1"/>
    </xf>
    <xf numFmtId="0" fontId="3" fillId="0" borderId="0" xfId="113" applyFont="1">
      <alignment/>
      <protection/>
    </xf>
    <xf numFmtId="1" fontId="130" fillId="0" borderId="37" xfId="99" applyNumberFormat="1" applyFont="1" applyFill="1" applyBorder="1" applyAlignment="1" applyProtection="1">
      <alignment horizontal="center" vertical="center"/>
      <protection hidden="1"/>
    </xf>
    <xf numFmtId="2" fontId="130" fillId="0" borderId="37" xfId="99" applyNumberFormat="1" applyFont="1" applyFill="1" applyBorder="1" applyAlignment="1" applyProtection="1">
      <alignment horizontal="center" vertical="center"/>
      <protection hidden="1"/>
    </xf>
    <xf numFmtId="0" fontId="130" fillId="25" borderId="0" xfId="99" applyFont="1" applyFill="1" applyAlignment="1" applyProtection="1">
      <alignment vertical="center"/>
      <protection hidden="1"/>
    </xf>
    <xf numFmtId="0" fontId="130" fillId="25" borderId="0" xfId="113" applyFont="1" applyFill="1" applyProtection="1">
      <alignment/>
      <protection hidden="1"/>
    </xf>
    <xf numFmtId="1" fontId="130" fillId="25" borderId="0" xfId="99" applyNumberFormat="1" applyFont="1" applyFill="1" applyBorder="1" applyProtection="1">
      <alignment/>
      <protection hidden="1"/>
    </xf>
    <xf numFmtId="0" fontId="130" fillId="25" borderId="36" xfId="99" applyFont="1" applyFill="1" applyBorder="1" applyAlignment="1" applyProtection="1">
      <alignment horizontal="center" vertical="center"/>
      <protection hidden="1"/>
    </xf>
    <xf numFmtId="0" fontId="130" fillId="25" borderId="36" xfId="99" applyFont="1" applyFill="1" applyBorder="1" applyAlignment="1" applyProtection="1">
      <alignment vertical="center"/>
      <protection hidden="1"/>
    </xf>
    <xf numFmtId="2" fontId="130" fillId="25" borderId="36" xfId="99" applyNumberFormat="1" applyFont="1" applyFill="1" applyBorder="1" applyAlignment="1" applyProtection="1">
      <alignment vertical="center"/>
      <protection hidden="1"/>
    </xf>
    <xf numFmtId="1" fontId="130" fillId="25" borderId="36" xfId="99" applyNumberFormat="1" applyFont="1" applyFill="1" applyBorder="1" applyAlignment="1" applyProtection="1">
      <alignment horizontal="center" vertical="center"/>
      <protection hidden="1"/>
    </xf>
    <xf numFmtId="2" fontId="130" fillId="25" borderId="36" xfId="99" applyNumberFormat="1" applyFont="1" applyFill="1" applyBorder="1" applyAlignment="1" applyProtection="1">
      <alignment horizontal="center" vertical="center"/>
      <protection hidden="1"/>
    </xf>
    <xf numFmtId="2" fontId="130" fillId="25" borderId="38" xfId="99" applyNumberFormat="1" applyFont="1" applyFill="1" applyBorder="1" applyAlignment="1" applyProtection="1">
      <alignment horizontal="center" vertical="center"/>
      <protection hidden="1"/>
    </xf>
    <xf numFmtId="202" fontId="130" fillId="0" borderId="36" xfId="99" applyNumberFormat="1" applyFont="1" applyBorder="1" applyAlignment="1" applyProtection="1">
      <alignment horizontal="center" vertical="center"/>
      <protection hidden="1"/>
    </xf>
    <xf numFmtId="0" fontId="130" fillId="0" borderId="39" xfId="113" applyFont="1" applyBorder="1" applyAlignment="1" applyProtection="1">
      <alignment vertical="center"/>
      <protection hidden="1"/>
    </xf>
    <xf numFmtId="0" fontId="130" fillId="20" borderId="0" xfId="113" applyFont="1" applyFill="1" applyBorder="1" applyAlignment="1" applyProtection="1">
      <alignment vertical="center"/>
      <protection hidden="1"/>
    </xf>
    <xf numFmtId="0" fontId="130" fillId="25" borderId="0" xfId="113" applyFont="1" applyFill="1" applyAlignment="1" applyProtection="1">
      <alignment vertical="center"/>
      <protection hidden="1"/>
    </xf>
    <xf numFmtId="0" fontId="130" fillId="20" borderId="30" xfId="113" applyFont="1" applyFill="1" applyBorder="1" applyAlignment="1" applyProtection="1">
      <alignment vertical="center"/>
      <protection hidden="1"/>
    </xf>
    <xf numFmtId="0" fontId="130" fillId="20" borderId="28" xfId="113" applyFont="1" applyFill="1" applyBorder="1" applyAlignment="1" applyProtection="1">
      <alignment vertical="center"/>
      <protection hidden="1"/>
    </xf>
    <xf numFmtId="203" fontId="130" fillId="0" borderId="28" xfId="99" applyNumberFormat="1" applyFont="1" applyBorder="1" applyAlignment="1" applyProtection="1">
      <alignment horizontal="center" vertical="center"/>
      <protection hidden="1"/>
    </xf>
    <xf numFmtId="203" fontId="130" fillId="0" borderId="0" xfId="99" applyNumberFormat="1" applyFont="1" applyBorder="1" applyAlignment="1" applyProtection="1">
      <alignment horizontal="center" vertical="center"/>
      <protection hidden="1"/>
    </xf>
    <xf numFmtId="203" fontId="130" fillId="0" borderId="32" xfId="99" applyNumberFormat="1" applyFont="1" applyBorder="1" applyAlignment="1" applyProtection="1">
      <alignment horizontal="center" vertical="center"/>
      <protection hidden="1"/>
    </xf>
    <xf numFmtId="0" fontId="13" fillId="0" borderId="0" xfId="113" applyFont="1" applyFill="1" applyBorder="1" applyAlignment="1">
      <alignment horizontal="center"/>
      <protection/>
    </xf>
    <xf numFmtId="0" fontId="3" fillId="0" borderId="0" xfId="113" applyFont="1" applyFill="1" applyBorder="1" applyAlignment="1">
      <alignment horizontal="center"/>
      <protection/>
    </xf>
    <xf numFmtId="1" fontId="6" fillId="26" borderId="31" xfId="113" applyNumberFormat="1" applyFont="1" applyFill="1" applyBorder="1" applyAlignment="1" applyProtection="1">
      <alignment vertical="center"/>
      <protection hidden="1"/>
    </xf>
    <xf numFmtId="1" fontId="6" fillId="26" borderId="0" xfId="113" applyNumberFormat="1" applyFont="1" applyFill="1" applyBorder="1" applyAlignment="1" applyProtection="1">
      <alignment vertical="center"/>
      <protection hidden="1"/>
    </xf>
    <xf numFmtId="0" fontId="6" fillId="26" borderId="0" xfId="99" applyFont="1" applyFill="1" applyBorder="1" applyAlignment="1" applyProtection="1">
      <alignment vertical="center"/>
      <protection hidden="1"/>
    </xf>
    <xf numFmtId="0" fontId="6" fillId="26" borderId="32" xfId="99" applyFont="1" applyFill="1" applyBorder="1" applyAlignment="1" applyProtection="1">
      <alignment vertical="center"/>
      <protection hidden="1"/>
    </xf>
    <xf numFmtId="0" fontId="6" fillId="25" borderId="0" xfId="99" applyFont="1" applyFill="1" applyAlignment="1" applyProtection="1">
      <alignment vertical="center"/>
      <protection hidden="1"/>
    </xf>
    <xf numFmtId="1" fontId="6" fillId="26" borderId="32" xfId="113" applyNumberFormat="1" applyFont="1" applyFill="1" applyBorder="1" applyAlignment="1" applyProtection="1">
      <alignment vertical="center"/>
      <protection hidden="1"/>
    </xf>
    <xf numFmtId="0" fontId="13" fillId="0" borderId="0" xfId="113" applyFont="1" applyFill="1" applyBorder="1" applyAlignment="1">
      <alignment horizontal="left"/>
      <protection/>
    </xf>
    <xf numFmtId="0" fontId="6" fillId="25" borderId="0" xfId="113" applyFont="1" applyFill="1" applyAlignment="1" applyProtection="1">
      <alignment vertical="center"/>
      <protection hidden="1"/>
    </xf>
    <xf numFmtId="0" fontId="15" fillId="25" borderId="0" xfId="113" applyFont="1" applyFill="1" applyAlignment="1" applyProtection="1">
      <alignment vertical="top"/>
      <protection hidden="1"/>
    </xf>
    <xf numFmtId="0" fontId="13" fillId="25" borderId="0" xfId="113" applyFont="1" applyFill="1" applyBorder="1" applyAlignment="1" applyProtection="1">
      <alignment horizontal="center"/>
      <protection hidden="1"/>
    </xf>
    <xf numFmtId="0" fontId="9" fillId="25" borderId="0" xfId="113" applyFont="1" applyFill="1" applyProtection="1">
      <alignment/>
      <protection hidden="1"/>
    </xf>
    <xf numFmtId="0" fontId="6" fillId="25" borderId="0" xfId="99" applyFont="1" applyFill="1" applyBorder="1" applyAlignment="1" applyProtection="1">
      <alignment/>
      <protection hidden="1"/>
    </xf>
    <xf numFmtId="0" fontId="6" fillId="0" borderId="0" xfId="99" applyFont="1" applyFill="1">
      <alignment/>
      <protection/>
    </xf>
    <xf numFmtId="0" fontId="0" fillId="0" borderId="0" xfId="99" applyFill="1" applyProtection="1">
      <alignment/>
      <protection locked="0"/>
    </xf>
    <xf numFmtId="0" fontId="6" fillId="0" borderId="0" xfId="99" applyFont="1" applyFill="1" applyProtection="1">
      <alignment/>
      <protection locked="0"/>
    </xf>
    <xf numFmtId="0" fontId="6" fillId="25" borderId="0" xfId="0" applyFont="1" applyFill="1" applyBorder="1" applyAlignment="1" applyProtection="1">
      <alignment vertical="top" wrapText="1"/>
      <protection hidden="1"/>
    </xf>
    <xf numFmtId="0" fontId="6" fillId="25" borderId="0" xfId="0" applyFont="1" applyFill="1" applyBorder="1" applyAlignment="1" applyProtection="1">
      <alignment horizontal="center" vertical="top" wrapText="1"/>
      <protection hidden="1"/>
    </xf>
    <xf numFmtId="2" fontId="3" fillId="0" borderId="0" xfId="96" applyNumberFormat="1" applyFont="1" applyBorder="1" applyAlignment="1" applyProtection="1">
      <alignment horizontal="right"/>
      <protection hidden="1"/>
    </xf>
    <xf numFmtId="0" fontId="6" fillId="4" borderId="0" xfId="99" applyFont="1" applyFill="1" applyBorder="1" applyProtection="1">
      <alignment/>
      <protection locked="0"/>
    </xf>
    <xf numFmtId="0" fontId="0" fillId="0" borderId="0" xfId="99" applyProtection="1">
      <alignment/>
      <protection locked="0"/>
    </xf>
    <xf numFmtId="0" fontId="143" fillId="25" borderId="0" xfId="99" applyFont="1" applyFill="1" applyBorder="1" applyAlignment="1" applyProtection="1">
      <alignment horizontal="right"/>
      <protection hidden="1"/>
    </xf>
    <xf numFmtId="1" fontId="143" fillId="25" borderId="0" xfId="99" applyNumberFormat="1" applyFont="1" applyFill="1" applyBorder="1" applyProtection="1">
      <alignment/>
      <protection hidden="1"/>
    </xf>
    <xf numFmtId="0" fontId="133" fillId="25" borderId="0" xfId="99" applyFont="1" applyFill="1" applyBorder="1" applyAlignment="1" applyProtection="1">
      <alignment horizontal="right"/>
      <protection hidden="1"/>
    </xf>
    <xf numFmtId="2" fontId="16" fillId="25" borderId="0" xfId="99" applyNumberFormat="1" applyFont="1" applyFill="1" applyBorder="1" applyProtection="1">
      <alignment/>
      <protection hidden="1"/>
    </xf>
    <xf numFmtId="0" fontId="143" fillId="25" borderId="0" xfId="99" applyFont="1" applyFill="1" applyProtection="1">
      <alignment/>
      <protection hidden="1"/>
    </xf>
    <xf numFmtId="2" fontId="143" fillId="25" borderId="0" xfId="99" applyNumberFormat="1" applyFont="1" applyFill="1" applyBorder="1" applyProtection="1">
      <alignment/>
      <protection hidden="1"/>
    </xf>
    <xf numFmtId="0" fontId="12" fillId="25" borderId="0" xfId="113" applyFont="1" applyFill="1" applyProtection="1">
      <alignment/>
      <protection hidden="1"/>
    </xf>
    <xf numFmtId="2" fontId="6" fillId="25" borderId="0" xfId="99" applyNumberFormat="1" applyFont="1" applyFill="1" applyProtection="1">
      <alignment/>
      <protection hidden="1"/>
    </xf>
    <xf numFmtId="2" fontId="6" fillId="25" borderId="0" xfId="96" applyNumberFormat="1" applyFont="1" applyFill="1" applyProtection="1">
      <alignment/>
      <protection hidden="1"/>
    </xf>
    <xf numFmtId="1" fontId="6" fillId="25" borderId="0" xfId="99" applyNumberFormat="1" applyFont="1" applyFill="1" applyProtection="1">
      <alignment/>
      <protection hidden="1"/>
    </xf>
    <xf numFmtId="0" fontId="133" fillId="25" borderId="0" xfId="99" applyFont="1" applyFill="1" applyAlignment="1" applyProtection="1">
      <alignment horizontal="right"/>
      <protection hidden="1"/>
    </xf>
    <xf numFmtId="0" fontId="130" fillId="25" borderId="0" xfId="99" applyFont="1" applyFill="1" applyProtection="1">
      <alignment/>
      <protection hidden="1"/>
    </xf>
    <xf numFmtId="0" fontId="2" fillId="25" borderId="0" xfId="68" applyFill="1" applyAlignment="1" applyProtection="1">
      <alignment/>
      <protection hidden="1"/>
    </xf>
    <xf numFmtId="0" fontId="0" fillId="25" borderId="0" xfId="99" applyFill="1" applyProtection="1">
      <alignment/>
      <protection hidden="1"/>
    </xf>
    <xf numFmtId="0" fontId="145" fillId="25" borderId="0" xfId="99" applyFont="1" applyFill="1" applyAlignment="1" applyProtection="1">
      <alignment horizontal="center"/>
      <protection hidden="1"/>
    </xf>
    <xf numFmtId="2" fontId="130" fillId="25" borderId="0" xfId="99" applyNumberFormat="1" applyFont="1" applyFill="1" applyAlignment="1" applyProtection="1">
      <alignment horizontal="right"/>
      <protection hidden="1"/>
    </xf>
    <xf numFmtId="172" fontId="145" fillId="25" borderId="0" xfId="99" applyNumberFormat="1" applyFont="1" applyFill="1" applyAlignment="1" applyProtection="1">
      <alignment horizontal="center"/>
      <protection hidden="1"/>
    </xf>
    <xf numFmtId="172" fontId="6" fillId="25" borderId="0" xfId="96" applyNumberFormat="1" applyFont="1" applyFill="1" applyProtection="1">
      <alignment/>
      <protection hidden="1"/>
    </xf>
    <xf numFmtId="172" fontId="10" fillId="25" borderId="0" xfId="99" applyNumberFormat="1" applyFont="1" applyFill="1" applyAlignment="1" applyProtection="1">
      <alignment/>
      <protection hidden="1"/>
    </xf>
    <xf numFmtId="172" fontId="130" fillId="25" borderId="0" xfId="99" applyNumberFormat="1" applyFont="1" applyFill="1" applyAlignment="1" applyProtection="1">
      <alignment/>
      <protection hidden="1"/>
    </xf>
    <xf numFmtId="2" fontId="0" fillId="0" borderId="28" xfId="99" applyNumberFormat="1" applyFont="1" applyFill="1" applyBorder="1" applyAlignment="1" applyProtection="1">
      <alignment horizontal="center"/>
      <protection locked="0"/>
    </xf>
    <xf numFmtId="0" fontId="0" fillId="0" borderId="28" xfId="99" applyFill="1" applyBorder="1" applyAlignment="1" applyProtection="1">
      <alignment horizontal="center"/>
      <protection locked="0"/>
    </xf>
    <xf numFmtId="0" fontId="0" fillId="0" borderId="28" xfId="99" applyBorder="1" applyAlignment="1" applyProtection="1">
      <alignment horizontal="center"/>
      <protection locked="0"/>
    </xf>
    <xf numFmtId="0" fontId="3" fillId="0" borderId="28" xfId="113" applyBorder="1" applyAlignment="1">
      <alignment horizontal="center"/>
      <protection/>
    </xf>
    <xf numFmtId="49" fontId="0" fillId="25" borderId="34" xfId="99" applyNumberFormat="1" applyFill="1" applyBorder="1" applyAlignment="1" applyProtection="1">
      <alignment horizontal="center"/>
      <protection hidden="1"/>
    </xf>
    <xf numFmtId="0" fontId="0" fillId="25" borderId="34" xfId="99" applyFill="1" applyBorder="1" applyAlignment="1" applyProtection="1">
      <alignment horizontal="center"/>
      <protection locked="0"/>
    </xf>
    <xf numFmtId="0" fontId="3" fillId="25" borderId="34" xfId="113" applyFill="1" applyBorder="1" applyAlignment="1">
      <alignment horizontal="center"/>
      <protection/>
    </xf>
    <xf numFmtId="0" fontId="6" fillId="25" borderId="0" xfId="99" applyFont="1" applyFill="1" applyAlignment="1" applyProtection="1">
      <alignment horizontal="right"/>
      <protection hidden="1"/>
    </xf>
    <xf numFmtId="1" fontId="133" fillId="25" borderId="0" xfId="99" applyNumberFormat="1" applyFont="1" applyFill="1" applyProtection="1">
      <alignment/>
      <protection hidden="1"/>
    </xf>
    <xf numFmtId="172" fontId="6" fillId="25" borderId="0" xfId="99" applyNumberFormat="1" applyFont="1" applyFill="1" applyProtection="1">
      <alignment/>
      <protection hidden="1"/>
    </xf>
    <xf numFmtId="0" fontId="3" fillId="25" borderId="0" xfId="99" applyFont="1" applyFill="1" applyProtection="1">
      <alignment/>
      <protection hidden="1"/>
    </xf>
    <xf numFmtId="0" fontId="6" fillId="25" borderId="0" xfId="99" applyFont="1" applyFill="1" applyAlignment="1" applyProtection="1">
      <alignment horizontal="left"/>
      <protection hidden="1"/>
    </xf>
    <xf numFmtId="0" fontId="149" fillId="25" borderId="0" xfId="99" applyFont="1" applyFill="1" applyAlignment="1" applyProtection="1">
      <alignment horizontal="left"/>
      <protection hidden="1"/>
    </xf>
    <xf numFmtId="0" fontId="7" fillId="25" borderId="0" xfId="0" applyFont="1" applyFill="1" applyAlignment="1" applyProtection="1">
      <alignment wrapText="1"/>
      <protection hidden="1"/>
    </xf>
    <xf numFmtId="0" fontId="11" fillId="0" borderId="0" xfId="0" applyFont="1" applyAlignment="1">
      <alignment horizontal="right"/>
    </xf>
    <xf numFmtId="0" fontId="148" fillId="25" borderId="0" xfId="91" applyFont="1" applyFill="1" applyBorder="1" applyAlignment="1" applyProtection="1">
      <alignment/>
      <protection hidden="1"/>
    </xf>
    <xf numFmtId="0" fontId="3" fillId="24" borderId="0" xfId="0" applyFont="1" applyFill="1" applyAlignment="1">
      <alignment/>
    </xf>
    <xf numFmtId="0" fontId="6" fillId="25" borderId="0" xfId="91" applyFont="1" applyFill="1" applyBorder="1" applyAlignment="1" applyProtection="1">
      <alignment horizontal="right"/>
      <protection hidden="1"/>
    </xf>
    <xf numFmtId="0" fontId="6" fillId="29" borderId="0" xfId="99" applyFont="1" applyFill="1" applyProtection="1">
      <alignment/>
      <protection locked="0"/>
    </xf>
    <xf numFmtId="2" fontId="6" fillId="25" borderId="0" xfId="99" applyNumberFormat="1" applyFont="1" applyFill="1" applyAlignment="1" applyProtection="1">
      <alignment/>
      <protection hidden="1"/>
    </xf>
    <xf numFmtId="1" fontId="3" fillId="0" borderId="0" xfId="0" applyNumberFormat="1" applyFont="1" applyAlignment="1">
      <alignment/>
    </xf>
    <xf numFmtId="193" fontId="3" fillId="0" borderId="0" xfId="0" applyNumberFormat="1" applyFont="1" applyAlignment="1">
      <alignment/>
    </xf>
    <xf numFmtId="2" fontId="3" fillId="0" borderId="0" xfId="0" applyNumberFormat="1" applyFont="1" applyAlignment="1">
      <alignment/>
    </xf>
    <xf numFmtId="0" fontId="6" fillId="25" borderId="0" xfId="113" applyFont="1" applyFill="1" applyAlignment="1" applyProtection="1">
      <alignment horizontal="left"/>
      <protection hidden="1"/>
    </xf>
    <xf numFmtId="1" fontId="6" fillId="25" borderId="0" xfId="99" applyNumberFormat="1" applyFont="1" applyFill="1" applyAlignment="1" applyProtection="1">
      <alignment/>
      <protection hidden="1"/>
    </xf>
    <xf numFmtId="0" fontId="133" fillId="25" borderId="0" xfId="113" applyFont="1" applyFill="1" applyAlignment="1" applyProtection="1">
      <alignment horizontal="right"/>
      <protection hidden="1"/>
    </xf>
    <xf numFmtId="0" fontId="150" fillId="25" borderId="0" xfId="113" applyFont="1" applyFill="1" applyProtection="1">
      <alignment/>
      <protection hidden="1"/>
    </xf>
    <xf numFmtId="0" fontId="6" fillId="25" borderId="0" xfId="113" applyFont="1" applyFill="1" applyAlignment="1" applyProtection="1">
      <alignment horizontal="right"/>
      <protection hidden="1"/>
    </xf>
    <xf numFmtId="173" fontId="9" fillId="0" borderId="0" xfId="0" applyNumberFormat="1" applyFont="1" applyAlignment="1">
      <alignment/>
    </xf>
    <xf numFmtId="173" fontId="0" fillId="0" borderId="0" xfId="0" applyNumberFormat="1" applyAlignment="1">
      <alignment/>
    </xf>
    <xf numFmtId="2" fontId="7" fillId="25" borderId="0" xfId="99" applyNumberFormat="1" applyFont="1" applyFill="1" applyProtection="1">
      <alignment/>
      <protection hidden="1"/>
    </xf>
    <xf numFmtId="2" fontId="133" fillId="25" borderId="0" xfId="99" applyNumberFormat="1" applyFont="1" applyFill="1" applyProtection="1">
      <alignment/>
      <protection hidden="1"/>
    </xf>
    <xf numFmtId="1" fontId="6" fillId="25" borderId="0" xfId="99" applyNumberFormat="1" applyFont="1" applyFill="1" applyAlignment="1" applyProtection="1">
      <alignment horizontal="left"/>
      <protection hidden="1"/>
    </xf>
    <xf numFmtId="0" fontId="3" fillId="25" borderId="0" xfId="113" applyFill="1" applyAlignment="1" applyProtection="1">
      <alignment/>
      <protection hidden="1"/>
    </xf>
    <xf numFmtId="0" fontId="103" fillId="25" borderId="0" xfId="93" applyFont="1" applyFill="1" applyAlignment="1" applyProtection="1">
      <alignment wrapText="1"/>
      <protection hidden="1"/>
    </xf>
    <xf numFmtId="0" fontId="8" fillId="25" borderId="0" xfId="113" applyFont="1" applyFill="1" applyAlignment="1" applyProtection="1">
      <alignment/>
      <protection hidden="1"/>
    </xf>
    <xf numFmtId="2" fontId="0" fillId="0" borderId="0" xfId="99" applyNumberFormat="1" applyFont="1" applyFill="1" applyProtection="1">
      <alignment/>
      <protection locked="0"/>
    </xf>
    <xf numFmtId="0" fontId="3" fillId="0" borderId="0" xfId="113" applyFont="1" applyBorder="1" applyProtection="1">
      <alignment/>
      <protection hidden="1"/>
    </xf>
    <xf numFmtId="177" fontId="9" fillId="0" borderId="0" xfId="83" applyNumberFormat="1" applyFont="1" applyFill="1" applyBorder="1" applyAlignment="1" applyProtection="1">
      <alignment horizontal="center" wrapText="1"/>
      <protection locked="0"/>
    </xf>
    <xf numFmtId="0" fontId="21" fillId="25" borderId="0" xfId="0" applyFont="1" applyFill="1" applyAlignment="1" applyProtection="1">
      <alignment/>
      <protection hidden="1"/>
    </xf>
    <xf numFmtId="0" fontId="105" fillId="25" borderId="10" xfId="83" applyFont="1" applyFill="1" applyBorder="1" applyAlignment="1" applyProtection="1">
      <alignment horizontal="centerContinuous"/>
      <protection hidden="1"/>
    </xf>
    <xf numFmtId="173" fontId="105" fillId="25" borderId="11" xfId="83" applyNumberFormat="1" applyFont="1" applyFill="1" applyBorder="1" applyAlignment="1" applyProtection="1">
      <alignment horizontal="center" vertical="center" wrapText="1"/>
      <protection hidden="1"/>
    </xf>
    <xf numFmtId="0" fontId="0" fillId="25" borderId="0" xfId="0" applyFill="1" applyBorder="1" applyAlignment="1" applyProtection="1">
      <alignment/>
      <protection hidden="1"/>
    </xf>
    <xf numFmtId="172" fontId="6" fillId="25" borderId="0" xfId="96" applyNumberFormat="1" applyFont="1" applyFill="1" applyBorder="1" applyProtection="1">
      <alignment/>
      <protection hidden="1"/>
    </xf>
    <xf numFmtId="172" fontId="10" fillId="25" borderId="0" xfId="99" applyNumberFormat="1" applyFont="1" applyFill="1" applyBorder="1" applyAlignment="1" applyProtection="1">
      <alignment/>
      <protection hidden="1"/>
    </xf>
    <xf numFmtId="0" fontId="0" fillId="25" borderId="0" xfId="99" applyFill="1" applyAlignment="1" applyProtection="1">
      <alignment/>
      <protection hidden="1"/>
    </xf>
    <xf numFmtId="0" fontId="3" fillId="25" borderId="0" xfId="91" applyFont="1" applyFill="1" applyProtection="1">
      <alignment/>
      <protection hidden="1"/>
    </xf>
    <xf numFmtId="0" fontId="105" fillId="25" borderId="12" xfId="83" applyFont="1" applyFill="1" applyBorder="1" applyAlignment="1" applyProtection="1">
      <alignment horizontal="center"/>
      <protection hidden="1"/>
    </xf>
    <xf numFmtId="173" fontId="105" fillId="25" borderId="12" xfId="83" applyNumberFormat="1" applyFont="1" applyFill="1" applyBorder="1" applyAlignment="1" applyProtection="1">
      <alignment horizontal="center"/>
      <protection hidden="1"/>
    </xf>
    <xf numFmtId="2" fontId="3" fillId="0" borderId="19" xfId="91" applyNumberFormat="1" applyFont="1" applyFill="1" applyBorder="1" applyAlignment="1" applyProtection="1">
      <alignment horizontal="center"/>
      <protection hidden="1"/>
    </xf>
    <xf numFmtId="0" fontId="3" fillId="25" borderId="19" xfId="83" applyFont="1" applyFill="1" applyBorder="1" applyProtection="1">
      <alignment/>
      <protection hidden="1"/>
    </xf>
    <xf numFmtId="173" fontId="3" fillId="25" borderId="19" xfId="83" applyNumberFormat="1" applyFont="1" applyFill="1" applyBorder="1" applyProtection="1">
      <alignment/>
      <protection hidden="1"/>
    </xf>
    <xf numFmtId="0" fontId="6" fillId="25" borderId="0" xfId="99" applyFont="1" applyFill="1" applyBorder="1" applyAlignment="1" applyProtection="1">
      <alignment horizontal="right" vertical="center"/>
      <protection hidden="1"/>
    </xf>
    <xf numFmtId="0" fontId="3" fillId="0" borderId="19" xfId="113" applyFont="1" applyBorder="1" applyAlignment="1">
      <alignment horizontal="center"/>
      <protection/>
    </xf>
    <xf numFmtId="0" fontId="3" fillId="25" borderId="11" xfId="83" applyFont="1" applyFill="1" applyBorder="1" applyProtection="1">
      <alignment/>
      <protection hidden="1"/>
    </xf>
    <xf numFmtId="173" fontId="3" fillId="25" borderId="11" xfId="83" applyNumberFormat="1" applyFont="1" applyFill="1" applyBorder="1" applyProtection="1">
      <alignment/>
      <protection hidden="1"/>
    </xf>
    <xf numFmtId="0" fontId="6" fillId="25" borderId="0" xfId="113" applyFont="1" applyFill="1" applyBorder="1" applyProtection="1">
      <alignment/>
      <protection hidden="1"/>
    </xf>
    <xf numFmtId="172" fontId="3" fillId="0" borderId="19" xfId="91" applyNumberFormat="1" applyFont="1" applyFill="1" applyBorder="1" applyAlignment="1" applyProtection="1">
      <alignment horizontal="center"/>
      <protection hidden="1"/>
    </xf>
    <xf numFmtId="2" fontId="6" fillId="25" borderId="0" xfId="83" applyNumberFormat="1" applyFont="1" applyFill="1" applyBorder="1" applyProtection="1">
      <alignment/>
      <protection hidden="1"/>
    </xf>
    <xf numFmtId="0" fontId="3" fillId="25" borderId="19" xfId="83" applyFont="1" applyFill="1" applyBorder="1" applyProtection="1">
      <alignment/>
      <protection/>
    </xf>
    <xf numFmtId="172" fontId="6" fillId="25" borderId="0" xfId="113" applyNumberFormat="1" applyFont="1" applyFill="1" applyProtection="1">
      <alignment/>
      <protection hidden="1"/>
    </xf>
    <xf numFmtId="1" fontId="133" fillId="25" borderId="0" xfId="99" applyNumberFormat="1" applyFont="1" applyFill="1" applyAlignment="1" applyProtection="1">
      <alignment/>
      <protection hidden="1"/>
    </xf>
    <xf numFmtId="0" fontId="6" fillId="25" borderId="0" xfId="0" applyFont="1" applyFill="1" applyAlignment="1" applyProtection="1">
      <alignment/>
      <protection hidden="1"/>
    </xf>
    <xf numFmtId="0" fontId="133" fillId="25" borderId="0" xfId="113" applyFont="1" applyFill="1" applyAlignment="1">
      <alignment horizontal="center"/>
      <protection/>
    </xf>
    <xf numFmtId="0" fontId="148" fillId="25" borderId="0" xfId="113" applyFont="1" applyFill="1" applyAlignment="1" applyProtection="1">
      <alignment horizontal="center"/>
      <protection hidden="1"/>
    </xf>
    <xf numFmtId="0" fontId="133" fillId="25" borderId="0" xfId="113" applyFont="1" applyFill="1" applyProtection="1">
      <alignment/>
      <protection hidden="1"/>
    </xf>
    <xf numFmtId="172" fontId="133" fillId="25" borderId="0" xfId="113" applyNumberFormat="1" applyFont="1" applyFill="1" applyProtection="1">
      <alignment/>
      <protection hidden="1"/>
    </xf>
    <xf numFmtId="0" fontId="133" fillId="25" borderId="0" xfId="99" applyFont="1" applyFill="1" applyProtection="1">
      <alignment/>
      <protection hidden="1"/>
    </xf>
    <xf numFmtId="1" fontId="133" fillId="25" borderId="0" xfId="91" applyNumberFormat="1" applyFont="1" applyFill="1" applyBorder="1" applyProtection="1">
      <alignment/>
      <protection hidden="1"/>
    </xf>
    <xf numFmtId="0" fontId="133" fillId="25" borderId="0" xfId="99" applyFont="1" applyFill="1" applyBorder="1" applyProtection="1">
      <alignment/>
      <protection hidden="1"/>
    </xf>
    <xf numFmtId="0" fontId="3" fillId="25" borderId="0" xfId="113" applyFill="1" applyBorder="1">
      <alignment/>
      <protection/>
    </xf>
    <xf numFmtId="0" fontId="3" fillId="0" borderId="0" xfId="113" applyFill="1" applyProtection="1">
      <alignment/>
      <protection hidden="1"/>
    </xf>
    <xf numFmtId="0" fontId="6" fillId="25" borderId="0" xfId="96" applyFont="1" applyFill="1" applyBorder="1" applyProtection="1">
      <alignment/>
      <protection hidden="1"/>
    </xf>
    <xf numFmtId="0" fontId="6" fillId="0" borderId="0" xfId="99" applyFont="1" applyFill="1" applyBorder="1">
      <alignment/>
      <protection/>
    </xf>
    <xf numFmtId="0" fontId="0" fillId="0" borderId="0" xfId="99" applyFill="1" applyBorder="1">
      <alignment/>
      <protection/>
    </xf>
    <xf numFmtId="0" fontId="6" fillId="25" borderId="0" xfId="96" applyFont="1" applyFill="1" applyBorder="1" applyAlignment="1" applyProtection="1">
      <alignment/>
      <protection hidden="1"/>
    </xf>
    <xf numFmtId="0" fontId="6" fillId="29" borderId="0" xfId="96" applyNumberFormat="1" applyFont="1" applyFill="1" applyProtection="1">
      <alignment/>
      <protection locked="0"/>
    </xf>
    <xf numFmtId="0" fontId="6" fillId="25" borderId="0" xfId="96" applyFont="1" applyFill="1" applyProtection="1">
      <alignment/>
      <protection hidden="1"/>
    </xf>
    <xf numFmtId="0" fontId="9" fillId="25" borderId="12" xfId="0" applyFont="1" applyFill="1" applyBorder="1" applyAlignment="1" applyProtection="1">
      <alignment horizontal="center"/>
      <protection hidden="1"/>
    </xf>
    <xf numFmtId="0" fontId="8" fillId="25" borderId="0" xfId="99" applyFont="1" applyFill="1" applyProtection="1">
      <alignment/>
      <protection hidden="1"/>
    </xf>
    <xf numFmtId="0" fontId="8" fillId="25" borderId="0" xfId="91" applyFont="1" applyFill="1" applyProtection="1">
      <alignment/>
      <protection hidden="1"/>
    </xf>
    <xf numFmtId="0" fontId="6" fillId="0" borderId="0" xfId="99" applyFont="1" applyFill="1" applyBorder="1" applyAlignment="1" applyProtection="1">
      <alignment horizontal="center"/>
      <protection hidden="1"/>
    </xf>
    <xf numFmtId="0" fontId="130" fillId="0" borderId="18" xfId="99" applyFont="1" applyFill="1" applyBorder="1" applyAlignment="1" applyProtection="1">
      <alignment horizontal="center"/>
      <protection hidden="1"/>
    </xf>
    <xf numFmtId="0" fontId="133" fillId="4" borderId="0" xfId="99" applyFont="1" applyFill="1" applyBorder="1" applyProtection="1">
      <alignment/>
      <protection locked="0"/>
    </xf>
    <xf numFmtId="0" fontId="10" fillId="0" borderId="40" xfId="99" applyFont="1" applyFill="1" applyBorder="1" applyAlignment="1" applyProtection="1">
      <alignment horizontal="center"/>
      <protection hidden="1"/>
    </xf>
    <xf numFmtId="2" fontId="133" fillId="25" borderId="0" xfId="99" applyNumberFormat="1" applyFont="1" applyFill="1" applyAlignment="1" applyProtection="1">
      <alignment horizontal="right"/>
      <protection hidden="1"/>
    </xf>
    <xf numFmtId="0" fontId="137" fillId="25" borderId="0" xfId="99" applyFont="1" applyFill="1" applyBorder="1" applyAlignment="1" applyProtection="1">
      <alignment horizontal="center"/>
      <protection hidden="1"/>
    </xf>
    <xf numFmtId="0" fontId="130" fillId="0" borderId="25" xfId="99" applyFont="1" applyFill="1" applyBorder="1" applyAlignment="1" applyProtection="1">
      <alignment horizontal="center"/>
      <protection hidden="1"/>
    </xf>
    <xf numFmtId="0" fontId="6" fillId="25" borderId="0" xfId="99" applyFont="1" applyFill="1" applyAlignment="1" applyProtection="1">
      <alignment horizontal="centerContinuous"/>
      <protection hidden="1"/>
    </xf>
    <xf numFmtId="173" fontId="6" fillId="25" borderId="19" xfId="89" applyNumberFormat="1" applyFont="1" applyFill="1" applyBorder="1" applyAlignment="1" applyProtection="1">
      <alignment horizontal="center"/>
      <protection hidden="1"/>
    </xf>
    <xf numFmtId="2" fontId="6" fillId="25" borderId="19" xfId="89" applyNumberFormat="1" applyFont="1" applyFill="1" applyBorder="1" applyAlignment="1" applyProtection="1">
      <alignment horizontal="center"/>
      <protection hidden="1"/>
    </xf>
    <xf numFmtId="2" fontId="6" fillId="25" borderId="19" xfId="95" applyNumberFormat="1" applyFont="1" applyFill="1" applyBorder="1" applyAlignment="1" applyProtection="1">
      <alignment horizontal="center"/>
      <protection hidden="1"/>
    </xf>
    <xf numFmtId="0" fontId="18" fillId="25" borderId="0" xfId="68" applyFont="1" applyFill="1" applyAlignment="1" applyProtection="1">
      <alignment horizontal="right"/>
      <protection hidden="1"/>
    </xf>
    <xf numFmtId="2" fontId="0" fillId="25" borderId="0" xfId="0" applyNumberFormat="1" applyFill="1" applyAlignment="1" applyProtection="1">
      <alignment/>
      <protection hidden="1"/>
    </xf>
    <xf numFmtId="172" fontId="109" fillId="25" borderId="18" xfId="84" applyNumberFormat="1" applyFont="1" applyFill="1" applyBorder="1" applyAlignment="1" applyProtection="1">
      <alignment/>
      <protection hidden="1"/>
    </xf>
    <xf numFmtId="172" fontId="64" fillId="25" borderId="0" xfId="84" applyNumberFormat="1" applyFont="1" applyFill="1" applyBorder="1" applyAlignment="1" applyProtection="1">
      <alignment/>
      <protection hidden="1"/>
    </xf>
    <xf numFmtId="0" fontId="3" fillId="0" borderId="0" xfId="89" applyFont="1" applyFill="1" applyBorder="1" applyAlignment="1" applyProtection="1">
      <alignment horizontal="center"/>
      <protection hidden="1"/>
    </xf>
    <xf numFmtId="0" fontId="12" fillId="0" borderId="0" xfId="95" applyFont="1" applyFill="1" applyBorder="1" applyAlignment="1" applyProtection="1">
      <alignment horizontal="center"/>
      <protection hidden="1"/>
    </xf>
    <xf numFmtId="0" fontId="152" fillId="25" borderId="0" xfId="89" applyFont="1" applyFill="1" applyAlignment="1">
      <alignment horizontal="center"/>
      <protection/>
    </xf>
    <xf numFmtId="172" fontId="152" fillId="25" borderId="0" xfId="89" applyNumberFormat="1" applyFont="1" applyFill="1">
      <alignment/>
      <protection/>
    </xf>
    <xf numFmtId="2" fontId="152" fillId="25" borderId="0" xfId="89" applyNumberFormat="1" applyFont="1" applyFill="1" applyAlignment="1" applyProtection="1">
      <alignment horizontal="right"/>
      <protection hidden="1"/>
    </xf>
    <xf numFmtId="172" fontId="152" fillId="25" borderId="0" xfId="89" applyNumberFormat="1" applyFont="1" applyFill="1" applyAlignment="1" applyProtection="1">
      <alignment horizontal="right"/>
      <protection hidden="1"/>
    </xf>
    <xf numFmtId="0" fontId="10" fillId="25" borderId="0" xfId="113" applyFont="1" applyFill="1" applyAlignment="1" applyProtection="1">
      <alignment horizontal="center"/>
      <protection hidden="1"/>
    </xf>
    <xf numFmtId="0" fontId="7" fillId="25" borderId="0" xfId="0" applyFont="1" applyFill="1" applyBorder="1" applyAlignment="1" applyProtection="1">
      <alignment horizontal="left" vertical="top" wrapText="1"/>
      <protection hidden="1"/>
    </xf>
    <xf numFmtId="0" fontId="0" fillId="0" borderId="0" xfId="0" applyFont="1" applyAlignment="1" applyProtection="1">
      <alignment/>
      <protection hidden="1"/>
    </xf>
    <xf numFmtId="2" fontId="3" fillId="0" borderId="19" xfId="113" applyNumberFormat="1" applyFont="1" applyBorder="1" applyAlignment="1">
      <alignment horizontal="center"/>
      <protection/>
    </xf>
    <xf numFmtId="0" fontId="3" fillId="25" borderId="0" xfId="0" applyFont="1" applyFill="1" applyAlignment="1" applyProtection="1">
      <alignment horizontal="right"/>
      <protection hidden="1"/>
    </xf>
    <xf numFmtId="0" fontId="130" fillId="25" borderId="0" xfId="113" applyFont="1" applyFill="1" applyAlignment="1" applyProtection="1">
      <alignment horizontal="right"/>
      <protection hidden="1"/>
    </xf>
    <xf numFmtId="0" fontId="0" fillId="0" borderId="0" xfId="0" applyFill="1" applyAlignment="1" applyProtection="1">
      <alignment/>
      <protection/>
    </xf>
    <xf numFmtId="0" fontId="7" fillId="0" borderId="0" xfId="102" applyFont="1" applyFill="1" applyAlignment="1" applyProtection="1">
      <alignment horizontal="left"/>
      <protection/>
    </xf>
    <xf numFmtId="0" fontId="3" fillId="0" borderId="0" xfId="113" applyFill="1" applyBorder="1" applyProtection="1">
      <alignment/>
      <protection/>
    </xf>
    <xf numFmtId="1" fontId="130" fillId="0" borderId="18" xfId="76" applyNumberFormat="1" applyFont="1" applyFill="1" applyBorder="1" applyProtection="1">
      <alignment/>
      <protection hidden="1"/>
    </xf>
    <xf numFmtId="0" fontId="6" fillId="0" borderId="0" xfId="97" applyFont="1" applyBorder="1" applyProtection="1">
      <alignment/>
      <protection locked="0"/>
    </xf>
    <xf numFmtId="0" fontId="130" fillId="25" borderId="40" xfId="89" applyFont="1" applyFill="1" applyBorder="1" applyAlignment="1" applyProtection="1">
      <alignment horizontal="center"/>
      <protection hidden="1"/>
    </xf>
    <xf numFmtId="0" fontId="130" fillId="25" borderId="39" xfId="89" applyFont="1" applyFill="1" applyBorder="1" applyAlignment="1" applyProtection="1">
      <alignment horizontal="center"/>
      <protection hidden="1"/>
    </xf>
    <xf numFmtId="0" fontId="6" fillId="25" borderId="11" xfId="120" applyFont="1" applyFill="1" applyBorder="1" applyAlignment="1" applyProtection="1">
      <alignment horizontal="center" vertical="center"/>
      <protection/>
    </xf>
    <xf numFmtId="0" fontId="6" fillId="25" borderId="26" xfId="120" applyFont="1" applyFill="1" applyBorder="1" applyAlignment="1" applyProtection="1">
      <alignment horizontal="center" vertical="center"/>
      <protection/>
    </xf>
    <xf numFmtId="0" fontId="6" fillId="25" borderId="11" xfId="120" applyFont="1" applyFill="1" applyBorder="1" applyAlignment="1" applyProtection="1">
      <alignment horizontal="center" vertical="center" wrapText="1"/>
      <protection/>
    </xf>
    <xf numFmtId="49" fontId="6" fillId="25" borderId="25" xfId="120" applyNumberFormat="1" applyFont="1" applyFill="1" applyBorder="1" applyAlignment="1" applyProtection="1">
      <alignment horizontal="center" vertical="center"/>
      <protection/>
    </xf>
    <xf numFmtId="49" fontId="133" fillId="25" borderId="11" xfId="89" applyNumberFormat="1" applyFont="1" applyFill="1" applyBorder="1" applyAlignment="1" applyProtection="1">
      <alignment horizontal="center" vertical="center" wrapText="1"/>
      <protection/>
    </xf>
    <xf numFmtId="0" fontId="3" fillId="25" borderId="17" xfId="120" applyFont="1" applyFill="1" applyBorder="1" applyAlignment="1" applyProtection="1">
      <alignment horizontal="center" vertical="center"/>
      <protection/>
    </xf>
    <xf numFmtId="0" fontId="3" fillId="25" borderId="0" xfId="120" applyFont="1" applyFill="1" applyBorder="1" applyAlignment="1" applyProtection="1">
      <alignment horizontal="center" vertical="center"/>
      <protection/>
    </xf>
    <xf numFmtId="0" fontId="3" fillId="25" borderId="17" xfId="120" applyFont="1" applyFill="1" applyBorder="1" applyAlignment="1" applyProtection="1">
      <alignment horizontal="center" vertical="center" wrapText="1"/>
      <protection/>
    </xf>
    <xf numFmtId="49" fontId="3" fillId="25" borderId="18" xfId="120" applyNumberFormat="1" applyFont="1" applyFill="1" applyBorder="1" applyAlignment="1" applyProtection="1">
      <alignment horizontal="center" vertical="center"/>
      <protection/>
    </xf>
    <xf numFmtId="49" fontId="9" fillId="25" borderId="17" xfId="89" applyNumberFormat="1" applyFont="1" applyFill="1" applyBorder="1" applyAlignment="1" applyProtection="1">
      <alignment horizontal="center" vertical="center" wrapText="1"/>
      <protection/>
    </xf>
    <xf numFmtId="0" fontId="3" fillId="25" borderId="12" xfId="120" applyFont="1" applyFill="1" applyBorder="1" applyAlignment="1" applyProtection="1">
      <alignment horizontal="center" vertical="center"/>
      <protection/>
    </xf>
    <xf numFmtId="0" fontId="3" fillId="25" borderId="13" xfId="120" applyFont="1" applyFill="1" applyBorder="1" applyAlignment="1" applyProtection="1">
      <alignment horizontal="center" vertical="center"/>
      <protection/>
    </xf>
    <xf numFmtId="49" fontId="3" fillId="25" borderId="14" xfId="120" applyNumberFormat="1" applyFont="1" applyFill="1" applyBorder="1" applyAlignment="1" applyProtection="1">
      <alignment horizontal="center" vertical="center"/>
      <protection/>
    </xf>
    <xf numFmtId="189" fontId="64" fillId="25" borderId="13" xfId="89" applyNumberFormat="1" applyFont="1" applyFill="1" applyBorder="1" applyAlignment="1" applyProtection="1">
      <alignment horizontal="center" vertical="center" wrapText="1"/>
      <protection/>
    </xf>
    <xf numFmtId="189" fontId="64" fillId="25" borderId="12" xfId="89" applyNumberFormat="1" applyFont="1" applyFill="1" applyBorder="1" applyAlignment="1" applyProtection="1">
      <alignment horizontal="center" vertical="center" wrapText="1"/>
      <protection/>
    </xf>
    <xf numFmtId="189" fontId="64" fillId="25" borderId="15" xfId="89" applyNumberFormat="1" applyFont="1" applyFill="1" applyBorder="1" applyAlignment="1" applyProtection="1">
      <alignment horizontal="center" vertical="center" wrapText="1"/>
      <protection/>
    </xf>
    <xf numFmtId="49" fontId="9" fillId="25" borderId="12" xfId="89" applyNumberFormat="1" applyFont="1" applyFill="1" applyBorder="1" applyAlignment="1" applyProtection="1">
      <alignment horizontal="center" vertical="center" wrapText="1"/>
      <protection/>
    </xf>
    <xf numFmtId="0" fontId="3" fillId="0" borderId="12" xfId="89" applyFont="1" applyFill="1" applyBorder="1" applyAlignment="1" applyProtection="1">
      <alignment vertical="center"/>
      <protection locked="0"/>
    </xf>
    <xf numFmtId="0" fontId="3" fillId="0" borderId="12" xfId="89" applyFont="1" applyBorder="1" applyAlignment="1" applyProtection="1">
      <alignment vertical="center"/>
      <protection locked="0"/>
    </xf>
    <xf numFmtId="0" fontId="3" fillId="25" borderId="12" xfId="89" applyFont="1" applyFill="1" applyBorder="1" applyAlignment="1" applyProtection="1">
      <alignment horizontal="left" vertical="center" wrapText="1"/>
      <protection locked="0"/>
    </xf>
    <xf numFmtId="0" fontId="3" fillId="0" borderId="12" xfId="0" applyFont="1" applyBorder="1" applyAlignment="1" applyProtection="1">
      <alignment horizontal="center" vertical="center"/>
      <protection locked="0"/>
    </xf>
    <xf numFmtId="0" fontId="64" fillId="0" borderId="12" xfId="0" applyFont="1" applyBorder="1" applyAlignment="1" applyProtection="1">
      <alignment horizontal="center" vertical="center"/>
      <protection locked="0"/>
    </xf>
    <xf numFmtId="49" fontId="9" fillId="25" borderId="19" xfId="89" applyNumberFormat="1" applyFont="1" applyFill="1" applyBorder="1" applyAlignment="1" applyProtection="1">
      <alignment horizontal="center"/>
      <protection locked="0"/>
    </xf>
    <xf numFmtId="1" fontId="3" fillId="0" borderId="12" xfId="89" applyNumberFormat="1" applyFont="1" applyBorder="1" applyAlignment="1" applyProtection="1">
      <alignment horizontal="center" vertical="center"/>
      <protection locked="0"/>
    </xf>
    <xf numFmtId="0" fontId="12" fillId="0" borderId="12" xfId="89" applyFont="1" applyBorder="1" applyAlignment="1" applyProtection="1">
      <alignment horizontal="center" vertical="center"/>
      <protection locked="0"/>
    </xf>
    <xf numFmtId="0" fontId="3" fillId="0" borderId="19" xfId="89" applyFont="1" applyBorder="1" applyAlignment="1" applyProtection="1">
      <alignment vertical="center"/>
      <protection locked="0"/>
    </xf>
    <xf numFmtId="0" fontId="3" fillId="25" borderId="19" xfId="89" applyFont="1" applyFill="1" applyBorder="1" applyAlignment="1" applyProtection="1">
      <alignment horizontal="left" vertical="center" wrapText="1"/>
      <protection locked="0"/>
    </xf>
    <xf numFmtId="0" fontId="3" fillId="0" borderId="19" xfId="0" applyFont="1" applyBorder="1" applyAlignment="1" applyProtection="1">
      <alignment horizontal="center" vertical="center"/>
      <protection locked="0"/>
    </xf>
    <xf numFmtId="0" fontId="64" fillId="0" borderId="19" xfId="0" applyFont="1" applyBorder="1" applyAlignment="1" applyProtection="1">
      <alignment horizontal="center" vertical="center"/>
      <protection locked="0"/>
    </xf>
    <xf numFmtId="1" fontId="3" fillId="0" borderId="19" xfId="89" applyNumberFormat="1" applyFont="1" applyBorder="1" applyAlignment="1" applyProtection="1">
      <alignment horizontal="center" vertical="center"/>
      <protection locked="0"/>
    </xf>
    <xf numFmtId="0" fontId="12" fillId="0" borderId="19" xfId="89" applyFont="1" applyBorder="1" applyAlignment="1" applyProtection="1">
      <alignment horizontal="center" vertical="center"/>
      <protection locked="0"/>
    </xf>
    <xf numFmtId="0" fontId="3" fillId="0" borderId="19" xfId="0" applyFont="1" applyBorder="1" applyAlignment="1">
      <alignment/>
    </xf>
    <xf numFmtId="0" fontId="3" fillId="25" borderId="19" xfId="89" applyFont="1" applyFill="1" applyBorder="1" applyAlignment="1" applyProtection="1">
      <alignment horizontal="left" wrapText="1"/>
      <protection locked="0"/>
    </xf>
    <xf numFmtId="1" fontId="3" fillId="25" borderId="19" xfId="89" applyNumberFormat="1" applyFont="1" applyFill="1" applyBorder="1" applyAlignment="1" applyProtection="1">
      <alignment horizontal="center" wrapText="1"/>
      <protection locked="0"/>
    </xf>
    <xf numFmtId="1" fontId="12" fillId="25" borderId="19" xfId="89" applyNumberFormat="1" applyFont="1" applyFill="1" applyBorder="1" applyAlignment="1" applyProtection="1">
      <alignment horizontal="center" wrapText="1"/>
      <protection locked="0"/>
    </xf>
    <xf numFmtId="0" fontId="12" fillId="0" borderId="19" xfId="89" applyFont="1" applyBorder="1" applyAlignment="1" applyProtection="1">
      <alignment horizontal="center"/>
      <protection locked="0"/>
    </xf>
    <xf numFmtId="0" fontId="3" fillId="0" borderId="19" xfId="89" applyFont="1" applyBorder="1" applyAlignment="1" applyProtection="1">
      <alignment horizontal="center" vertical="center"/>
      <protection locked="0"/>
    </xf>
    <xf numFmtId="0" fontId="64" fillId="0" borderId="19" xfId="89" applyFont="1" applyBorder="1" applyAlignment="1" applyProtection="1">
      <alignment horizontal="center" vertical="center"/>
      <protection locked="0"/>
    </xf>
    <xf numFmtId="49" fontId="9" fillId="0" borderId="19" xfId="89" applyNumberFormat="1" applyFont="1" applyBorder="1" applyAlignment="1" applyProtection="1">
      <alignment horizontal="center" vertical="center"/>
      <protection locked="0"/>
    </xf>
    <xf numFmtId="0" fontId="3" fillId="25" borderId="19" xfId="120" applyFont="1" applyFill="1" applyBorder="1" applyProtection="1">
      <alignment/>
      <protection locked="0"/>
    </xf>
    <xf numFmtId="0" fontId="3" fillId="25" borderId="19" xfId="89" applyFont="1" applyFill="1" applyBorder="1" applyAlignment="1" applyProtection="1">
      <alignment horizontal="center" wrapText="1"/>
      <protection locked="0"/>
    </xf>
    <xf numFmtId="0" fontId="3" fillId="0" borderId="19" xfId="89" applyFont="1" applyFill="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0" xfId="89" applyFont="1" applyBorder="1" applyAlignment="1" applyProtection="1">
      <alignment vertical="center"/>
      <protection locked="0"/>
    </xf>
    <xf numFmtId="0" fontId="3" fillId="0" borderId="19" xfId="120" applyFont="1" applyBorder="1" applyProtection="1">
      <alignment/>
      <protection locked="0"/>
    </xf>
    <xf numFmtId="49" fontId="9" fillId="0" borderId="19" xfId="89" applyNumberFormat="1" applyFont="1" applyFill="1" applyBorder="1" applyAlignment="1" applyProtection="1">
      <alignment horizontal="center" wrapText="1"/>
      <protection locked="0"/>
    </xf>
    <xf numFmtId="0" fontId="3" fillId="0" borderId="19" xfId="120" applyFont="1" applyBorder="1" applyAlignment="1" applyProtection="1">
      <alignment horizontal="left" vertical="center"/>
      <protection locked="0"/>
    </xf>
    <xf numFmtId="0" fontId="0" fillId="25" borderId="0" xfId="0" applyFill="1" applyAlignment="1">
      <alignment/>
    </xf>
    <xf numFmtId="0" fontId="43" fillId="25" borderId="0" xfId="89" applyFont="1" applyFill="1" applyBorder="1" applyAlignment="1" applyProtection="1">
      <alignment horizontal="center" wrapText="1"/>
      <protection locked="0"/>
    </xf>
    <xf numFmtId="189" fontId="64" fillId="25" borderId="0" xfId="89" applyNumberFormat="1" applyFont="1" applyFill="1" applyBorder="1" applyAlignment="1" applyProtection="1">
      <alignment horizontal="center" wrapText="1"/>
      <protection locked="0"/>
    </xf>
    <xf numFmtId="1" fontId="43" fillId="25" borderId="0" xfId="89" applyNumberFormat="1" applyFont="1" applyFill="1" applyBorder="1" applyAlignment="1" applyProtection="1">
      <alignment horizontal="center" wrapText="1"/>
      <protection locked="0"/>
    </xf>
    <xf numFmtId="49" fontId="43" fillId="25" borderId="0" xfId="89" applyNumberFormat="1" applyFont="1" applyFill="1" applyBorder="1" applyAlignment="1" applyProtection="1">
      <alignment horizontal="center" wrapText="1"/>
      <protection locked="0"/>
    </xf>
    <xf numFmtId="0" fontId="12" fillId="25" borderId="0" xfId="89" applyFont="1" applyFill="1" applyBorder="1" applyAlignment="1" applyProtection="1">
      <alignment horizontal="center" vertical="center"/>
      <protection locked="0"/>
    </xf>
    <xf numFmtId="0" fontId="3" fillId="25" borderId="0" xfId="120" applyFont="1" applyFill="1" applyBorder="1" applyProtection="1">
      <alignment/>
      <protection locked="0"/>
    </xf>
    <xf numFmtId="0" fontId="3" fillId="25" borderId="0" xfId="120" applyFont="1" applyFill="1" applyBorder="1" applyAlignment="1" applyProtection="1">
      <alignment/>
      <protection locked="0"/>
    </xf>
    <xf numFmtId="0" fontId="43" fillId="25" borderId="0" xfId="89" applyFont="1" applyFill="1" applyBorder="1" applyAlignment="1" applyProtection="1">
      <alignment horizontal="left"/>
      <protection locked="0"/>
    </xf>
    <xf numFmtId="0" fontId="43" fillId="25" borderId="0" xfId="89" applyFont="1" applyFill="1" applyBorder="1" applyAlignment="1" applyProtection="1">
      <alignment horizontal="center"/>
      <protection locked="0"/>
    </xf>
    <xf numFmtId="49" fontId="3" fillId="25" borderId="0" xfId="89" applyNumberFormat="1" applyFont="1" applyFill="1" applyBorder="1" applyAlignment="1" applyProtection="1">
      <alignment horizontal="left"/>
      <protection locked="0"/>
    </xf>
    <xf numFmtId="49" fontId="3" fillId="25" borderId="0" xfId="120" applyNumberFormat="1" applyFont="1" applyFill="1" applyAlignment="1" applyProtection="1">
      <alignment horizontal="center"/>
      <protection locked="0"/>
    </xf>
    <xf numFmtId="49" fontId="3" fillId="25" borderId="0" xfId="120" applyNumberFormat="1" applyFont="1" applyFill="1" applyProtection="1">
      <alignment/>
      <protection locked="0"/>
    </xf>
    <xf numFmtId="49" fontId="43" fillId="25" borderId="0" xfId="89" applyNumberFormat="1" applyFont="1" applyFill="1" applyBorder="1" applyAlignment="1" applyProtection="1">
      <alignment horizontal="left"/>
      <protection locked="0"/>
    </xf>
    <xf numFmtId="49" fontId="43" fillId="25" borderId="0" xfId="89" applyNumberFormat="1" applyFont="1" applyFill="1" applyBorder="1" applyAlignment="1" applyProtection="1">
      <alignment horizontal="center"/>
      <protection locked="0"/>
    </xf>
    <xf numFmtId="0" fontId="3" fillId="25" borderId="0" xfId="120" applyFont="1" applyFill="1" applyAlignment="1" applyProtection="1">
      <alignment horizontal="center"/>
      <protection locked="0"/>
    </xf>
    <xf numFmtId="189" fontId="3" fillId="25" borderId="0" xfId="120" applyNumberFormat="1" applyFont="1" applyFill="1" applyProtection="1">
      <alignment/>
      <protection locked="0"/>
    </xf>
    <xf numFmtId="1" fontId="3" fillId="25" borderId="0" xfId="120" applyNumberFormat="1" applyFont="1" applyFill="1" applyProtection="1">
      <alignment/>
      <protection locked="0"/>
    </xf>
    <xf numFmtId="0" fontId="105" fillId="25" borderId="0" xfId="82" applyFont="1" applyFill="1" applyAlignment="1" applyProtection="1">
      <alignment horizontal="centerContinuous" wrapText="1"/>
      <protection hidden="1"/>
    </xf>
    <xf numFmtId="173" fontId="24" fillId="25" borderId="0" xfId="82" applyNumberFormat="1" applyFont="1" applyFill="1" applyAlignment="1" applyProtection="1">
      <alignment horizontal="centerContinuous"/>
      <protection hidden="1"/>
    </xf>
    <xf numFmtId="0" fontId="24" fillId="25" borderId="0" xfId="82" applyFont="1" applyFill="1" applyAlignment="1" applyProtection="1">
      <alignment horizontal="centerContinuous"/>
      <protection hidden="1"/>
    </xf>
    <xf numFmtId="0" fontId="18" fillId="25" borderId="0" xfId="67" applyFont="1" applyFill="1" applyAlignment="1" applyProtection="1">
      <alignment horizontal="left"/>
      <protection hidden="1"/>
    </xf>
    <xf numFmtId="0" fontId="0" fillId="0" borderId="20" xfId="0" applyFont="1" applyBorder="1" applyAlignment="1" applyProtection="1">
      <alignment horizontal="center"/>
      <protection hidden="1"/>
    </xf>
    <xf numFmtId="0" fontId="0" fillId="0" borderId="19" xfId="0" applyFont="1" applyFill="1" applyBorder="1" applyAlignment="1" applyProtection="1">
      <alignment horizontal="center"/>
      <protection hidden="1"/>
    </xf>
    <xf numFmtId="0" fontId="0" fillId="25" borderId="19" xfId="0" applyFont="1" applyFill="1" applyBorder="1" applyAlignment="1" applyProtection="1">
      <alignment horizontal="center"/>
      <protection hidden="1"/>
    </xf>
    <xf numFmtId="0" fontId="0" fillId="22" borderId="20" xfId="0" applyNumberFormat="1" applyFont="1" applyFill="1" applyBorder="1" applyAlignment="1" applyProtection="1">
      <alignment horizontal="center"/>
      <protection locked="0"/>
    </xf>
    <xf numFmtId="0" fontId="0" fillId="22" borderId="19" xfId="0" applyFont="1" applyFill="1" applyBorder="1" applyAlignment="1" applyProtection="1">
      <alignment horizontal="center"/>
      <protection locked="0"/>
    </xf>
    <xf numFmtId="172" fontId="0" fillId="25" borderId="19" xfId="0" applyNumberFormat="1" applyFont="1" applyFill="1" applyBorder="1" applyAlignment="1" applyProtection="1">
      <alignment horizontal="center"/>
      <protection hidden="1"/>
    </xf>
    <xf numFmtId="2" fontId="96" fillId="0" borderId="19" xfId="0" applyNumberFormat="1" applyFont="1" applyFill="1" applyBorder="1" applyAlignment="1" applyProtection="1">
      <alignment horizontal="center"/>
      <protection hidden="1"/>
    </xf>
    <xf numFmtId="2" fontId="0" fillId="25" borderId="21" xfId="119" applyNumberFormat="1" applyFont="1" applyFill="1" applyBorder="1" applyAlignment="1" applyProtection="1">
      <alignment horizontal="center"/>
      <protection hidden="1"/>
    </xf>
    <xf numFmtId="0" fontId="24" fillId="25" borderId="0" xfId="82" applyFont="1" applyFill="1" applyProtection="1">
      <alignment/>
      <protection hidden="1"/>
    </xf>
    <xf numFmtId="0" fontId="24" fillId="25" borderId="0" xfId="82" applyNumberFormat="1" applyFont="1" applyFill="1" applyAlignment="1" applyProtection="1">
      <alignment horizontal="center" vertical="center"/>
      <protection hidden="1"/>
    </xf>
    <xf numFmtId="0" fontId="3" fillId="0" borderId="0" xfId="109">
      <alignment/>
      <protection/>
    </xf>
    <xf numFmtId="0" fontId="24" fillId="25" borderId="0" xfId="81" applyFont="1" applyFill="1" applyAlignment="1" applyProtection="1">
      <alignment horizontal="centerContinuous"/>
      <protection hidden="1"/>
    </xf>
    <xf numFmtId="0" fontId="24" fillId="25" borderId="0" xfId="121" applyFont="1" applyFill="1" applyAlignment="1" applyProtection="1">
      <alignment/>
      <protection hidden="1"/>
    </xf>
    <xf numFmtId="0" fontId="24" fillId="25" borderId="0" xfId="81" applyFont="1" applyFill="1" applyAlignment="1" applyProtection="1">
      <alignment/>
      <protection hidden="1"/>
    </xf>
    <xf numFmtId="0" fontId="105" fillId="25" borderId="10" xfId="81" applyFont="1" applyFill="1" applyBorder="1" applyAlignment="1" applyProtection="1">
      <alignment horizontal="center" vertical="center" wrapText="1"/>
      <protection hidden="1"/>
    </xf>
    <xf numFmtId="191" fontId="105" fillId="25" borderId="11" xfId="81" applyNumberFormat="1" applyFont="1" applyFill="1" applyBorder="1" applyAlignment="1" applyProtection="1">
      <alignment horizontal="centerContinuous" vertical="center" wrapText="1"/>
      <protection hidden="1"/>
    </xf>
    <xf numFmtId="0" fontId="105" fillId="25" borderId="15" xfId="81" applyFont="1" applyFill="1" applyBorder="1" applyAlignment="1" applyProtection="1">
      <alignment horizontal="center" vertical="center" wrapText="1"/>
      <protection hidden="1"/>
    </xf>
    <xf numFmtId="0" fontId="105" fillId="25" borderId="12" xfId="81" applyFont="1" applyFill="1" applyBorder="1" applyAlignment="1" applyProtection="1">
      <alignment horizontal="center"/>
      <protection hidden="1"/>
    </xf>
    <xf numFmtId="0" fontId="105" fillId="25" borderId="15" xfId="81" applyFont="1" applyFill="1" applyBorder="1" applyAlignment="1" applyProtection="1">
      <alignment horizontal="center"/>
      <protection hidden="1"/>
    </xf>
    <xf numFmtId="0" fontId="0" fillId="25" borderId="20" xfId="121" applyFont="1" applyFill="1" applyBorder="1" applyAlignment="1" applyProtection="1">
      <alignment/>
      <protection locked="0"/>
    </xf>
    <xf numFmtId="0" fontId="0" fillId="25" borderId="19" xfId="121" applyFont="1" applyFill="1" applyBorder="1" applyAlignment="1" applyProtection="1">
      <alignment/>
      <protection locked="0"/>
    </xf>
    <xf numFmtId="0" fontId="0" fillId="25" borderId="19" xfId="121" applyFont="1" applyFill="1" applyBorder="1" applyAlignment="1" applyProtection="1">
      <alignment/>
      <protection hidden="1"/>
    </xf>
    <xf numFmtId="0" fontId="24" fillId="25" borderId="0" xfId="121" applyFont="1" applyFill="1" applyAlignment="1" applyProtection="1">
      <alignment/>
      <protection/>
    </xf>
    <xf numFmtId="0" fontId="3" fillId="25" borderId="0" xfId="108" applyFill="1" applyAlignment="1" applyProtection="1">
      <alignment/>
      <protection/>
    </xf>
    <xf numFmtId="0" fontId="24" fillId="25" borderId="0" xfId="81" applyFont="1" applyFill="1" applyAlignment="1" applyProtection="1">
      <alignment horizontal="centerContinuous"/>
      <protection/>
    </xf>
    <xf numFmtId="0" fontId="0" fillId="25" borderId="0" xfId="121" applyFont="1" applyFill="1" applyAlignment="1" applyProtection="1">
      <alignment/>
      <protection/>
    </xf>
    <xf numFmtId="2" fontId="11" fillId="22" borderId="0" xfId="81" applyNumberFormat="1" applyFont="1" applyFill="1" applyAlignment="1" applyProtection="1">
      <alignment/>
      <protection locked="0"/>
    </xf>
    <xf numFmtId="0" fontId="0" fillId="25" borderId="0" xfId="81" applyFont="1" applyFill="1" applyAlignment="1" applyProtection="1">
      <alignment horizontal="centerContinuous"/>
      <protection hidden="1"/>
    </xf>
    <xf numFmtId="0" fontId="0" fillId="25" borderId="0" xfId="81" applyFont="1" applyFill="1" applyAlignment="1" applyProtection="1">
      <alignment/>
      <protection hidden="1"/>
    </xf>
    <xf numFmtId="0" fontId="0" fillId="25" borderId="0" xfId="81" applyFont="1" applyFill="1" applyAlignment="1" applyProtection="1">
      <alignment horizontal="centerContinuous"/>
      <protection/>
    </xf>
    <xf numFmtId="0" fontId="0" fillId="25" borderId="16" xfId="121" applyFont="1" applyFill="1" applyBorder="1" applyAlignment="1" applyProtection="1">
      <alignment/>
      <protection locked="0"/>
    </xf>
    <xf numFmtId="191" fontId="46" fillId="25" borderId="10" xfId="81" applyNumberFormat="1" applyFont="1" applyFill="1" applyBorder="1" applyAlignment="1" applyProtection="1">
      <alignment horizontal="center" wrapText="1"/>
      <protection/>
    </xf>
    <xf numFmtId="0" fontId="46" fillId="25" borderId="11" xfId="121" applyFont="1" applyFill="1" applyBorder="1" applyAlignment="1" applyProtection="1">
      <alignment horizontal="center"/>
      <protection/>
    </xf>
    <xf numFmtId="0" fontId="46" fillId="25" borderId="16" xfId="121" applyFont="1" applyFill="1" applyBorder="1" applyAlignment="1" applyProtection="1">
      <alignment horizontal="center"/>
      <protection/>
    </xf>
    <xf numFmtId="0" fontId="46" fillId="25" borderId="17" xfId="121" applyFont="1" applyFill="1" applyBorder="1" applyAlignment="1" applyProtection="1">
      <alignment horizontal="center"/>
      <protection/>
    </xf>
    <xf numFmtId="0" fontId="46" fillId="25" borderId="16" xfId="81" applyFont="1" applyFill="1" applyBorder="1" applyAlignment="1" applyProtection="1">
      <alignment horizontal="center"/>
      <protection/>
    </xf>
    <xf numFmtId="0" fontId="46" fillId="25" borderId="12" xfId="81" applyFont="1" applyFill="1" applyBorder="1" applyAlignment="1" applyProtection="1">
      <alignment horizontal="center"/>
      <protection/>
    </xf>
    <xf numFmtId="0" fontId="46" fillId="25" borderId="17" xfId="81" applyFont="1" applyFill="1" applyBorder="1" applyAlignment="1" applyProtection="1">
      <alignment horizontal="center" wrapText="1"/>
      <protection hidden="1"/>
    </xf>
    <xf numFmtId="0" fontId="155" fillId="25" borderId="17" xfId="81" applyFont="1" applyFill="1" applyBorder="1" applyAlignment="1" applyProtection="1">
      <alignment horizontal="center" wrapText="1"/>
      <protection hidden="1"/>
    </xf>
    <xf numFmtId="2" fontId="0" fillId="22" borderId="19" xfId="81" applyNumberFormat="1" applyFont="1" applyFill="1" applyBorder="1" applyAlignment="1" applyProtection="1">
      <alignment horizontal="center" wrapText="1"/>
      <protection locked="0"/>
    </xf>
    <xf numFmtId="0" fontId="0" fillId="22" borderId="19" xfId="81" applyFont="1" applyFill="1" applyBorder="1" applyAlignment="1" applyProtection="1">
      <alignment horizontal="center"/>
      <protection locked="0"/>
    </xf>
    <xf numFmtId="2" fontId="0" fillId="25" borderId="19" xfId="121" applyNumberFormat="1" applyFont="1" applyFill="1" applyBorder="1" applyAlignment="1" applyProtection="1">
      <alignment horizontal="center"/>
      <protection hidden="1"/>
    </xf>
    <xf numFmtId="2" fontId="22" fillId="25" borderId="19" xfId="121" applyNumberFormat="1" applyFont="1" applyFill="1" applyBorder="1" applyAlignment="1" applyProtection="1">
      <alignment horizontal="center"/>
      <protection hidden="1"/>
    </xf>
    <xf numFmtId="172" fontId="0" fillId="25" borderId="0" xfId="121" applyNumberFormat="1" applyFont="1" applyFill="1" applyBorder="1" applyAlignment="1" applyProtection="1">
      <alignment horizontal="center"/>
      <protection hidden="1"/>
    </xf>
    <xf numFmtId="1" fontId="0" fillId="25" borderId="0" xfId="81" applyNumberFormat="1" applyFont="1" applyFill="1" applyBorder="1" applyAlignment="1" applyProtection="1">
      <alignment/>
      <protection hidden="1"/>
    </xf>
    <xf numFmtId="172" fontId="74" fillId="25" borderId="0" xfId="121" applyNumberFormat="1" applyFont="1" applyFill="1" applyBorder="1" applyAlignment="1" applyProtection="1">
      <alignment horizontal="center"/>
      <protection hidden="1"/>
    </xf>
    <xf numFmtId="1" fontId="74" fillId="25" borderId="0" xfId="81" applyNumberFormat="1" applyFont="1" applyFill="1" applyBorder="1" applyAlignment="1" applyProtection="1">
      <alignment/>
      <protection hidden="1"/>
    </xf>
    <xf numFmtId="0" fontId="0" fillId="25" borderId="0" xfId="81" applyFont="1" applyFill="1" applyAlignment="1" applyProtection="1">
      <alignment/>
      <protection/>
    </xf>
    <xf numFmtId="173" fontId="0" fillId="25" borderId="0" xfId="81" applyNumberFormat="1" applyFont="1" applyFill="1" applyAlignment="1" applyProtection="1">
      <alignment/>
      <protection hidden="1"/>
    </xf>
    <xf numFmtId="1" fontId="0" fillId="25" borderId="0" xfId="81" applyNumberFormat="1" applyFont="1" applyFill="1" applyAlignment="1" applyProtection="1">
      <alignment/>
      <protection hidden="1"/>
    </xf>
    <xf numFmtId="2" fontId="0" fillId="25" borderId="0" xfId="81" applyNumberFormat="1" applyFont="1" applyFill="1" applyAlignment="1" applyProtection="1">
      <alignment/>
      <protection hidden="1"/>
    </xf>
    <xf numFmtId="172" fontId="11" fillId="22" borderId="0" xfId="81" applyNumberFormat="1" applyFont="1" applyFill="1" applyAlignment="1" applyProtection="1">
      <alignment/>
      <protection locked="0"/>
    </xf>
    <xf numFmtId="173" fontId="46" fillId="25" borderId="26" xfId="81" applyNumberFormat="1" applyFont="1" applyFill="1" applyBorder="1" applyAlignment="1" applyProtection="1">
      <alignment horizontal="centerContinuous" wrapText="1"/>
      <protection hidden="1"/>
    </xf>
    <xf numFmtId="173" fontId="46" fillId="25" borderId="0" xfId="81" applyNumberFormat="1" applyFont="1" applyFill="1" applyBorder="1" applyAlignment="1" applyProtection="1">
      <alignment horizontal="centerContinuous" wrapText="1"/>
      <protection hidden="1"/>
    </xf>
    <xf numFmtId="0" fontId="156" fillId="25" borderId="0" xfId="121" applyFont="1" applyFill="1" applyAlignment="1" applyProtection="1">
      <alignment/>
      <protection/>
    </xf>
    <xf numFmtId="172" fontId="74" fillId="25" borderId="0" xfId="121" applyNumberFormat="1" applyFont="1" applyFill="1" applyBorder="1" applyAlignment="1" applyProtection="1">
      <alignment horizontal="right"/>
      <protection hidden="1"/>
    </xf>
    <xf numFmtId="0" fontId="74" fillId="25" borderId="0" xfId="121" applyFont="1" applyFill="1" applyAlignment="1" applyProtection="1">
      <alignment/>
      <protection hidden="1"/>
    </xf>
    <xf numFmtId="173" fontId="22" fillId="25" borderId="0" xfId="81" applyNumberFormat="1" applyFont="1" applyFill="1" applyAlignment="1" applyProtection="1">
      <alignment/>
      <protection hidden="1"/>
    </xf>
    <xf numFmtId="0" fontId="22" fillId="25" borderId="0" xfId="81" applyFont="1" applyFill="1" applyAlignment="1" applyProtection="1">
      <alignment/>
      <protection hidden="1"/>
    </xf>
    <xf numFmtId="173" fontId="22" fillId="25" borderId="0" xfId="81" applyNumberFormat="1" applyFont="1" applyFill="1" applyAlignment="1" applyProtection="1">
      <alignment horizontal="centerContinuous"/>
      <protection hidden="1"/>
    </xf>
    <xf numFmtId="0" fontId="22" fillId="25" borderId="0" xfId="81" applyFont="1" applyFill="1" applyAlignment="1" applyProtection="1">
      <alignment horizontal="centerContinuous"/>
      <protection hidden="1"/>
    </xf>
    <xf numFmtId="178" fontId="46" fillId="25" borderId="0" xfId="81" applyNumberFormat="1" applyFont="1" applyFill="1" applyBorder="1" applyAlignment="1" applyProtection="1">
      <alignment horizontal="centerContinuous" wrapText="1"/>
      <protection hidden="1"/>
    </xf>
    <xf numFmtId="178" fontId="46" fillId="25" borderId="17" xfId="81" applyNumberFormat="1" applyFont="1" applyFill="1" applyBorder="1" applyAlignment="1" applyProtection="1">
      <alignment horizontal="center" wrapText="1"/>
      <protection hidden="1"/>
    </xf>
    <xf numFmtId="173" fontId="155" fillId="25" borderId="17" xfId="81" applyNumberFormat="1" applyFont="1" applyFill="1" applyBorder="1" applyAlignment="1" applyProtection="1">
      <alignment horizontal="center" wrapText="1"/>
      <protection hidden="1"/>
    </xf>
    <xf numFmtId="0" fontId="0" fillId="25" borderId="0" xfId="121" applyFont="1" applyFill="1" applyAlignment="1" applyProtection="1">
      <alignment/>
      <protection hidden="1"/>
    </xf>
    <xf numFmtId="0" fontId="46" fillId="25" borderId="0" xfId="81" applyFont="1" applyFill="1" applyAlignment="1" applyProtection="1">
      <alignment/>
      <protection hidden="1"/>
    </xf>
    <xf numFmtId="0" fontId="0" fillId="25" borderId="0" xfId="108" applyFont="1" applyFill="1" applyAlignment="1" applyProtection="1">
      <alignment/>
      <protection hidden="1"/>
    </xf>
    <xf numFmtId="0" fontId="0" fillId="25" borderId="0" xfId="121" applyFont="1" applyFill="1" applyAlignment="1" applyProtection="1">
      <alignment horizontal="left"/>
      <protection hidden="1"/>
    </xf>
    <xf numFmtId="0" fontId="3" fillId="25" borderId="0" xfId="108" applyFill="1" applyProtection="1">
      <alignment/>
      <protection hidden="1"/>
    </xf>
    <xf numFmtId="0" fontId="3" fillId="0" borderId="0" xfId="108" applyProtection="1">
      <alignment/>
      <protection hidden="1"/>
    </xf>
    <xf numFmtId="0" fontId="0" fillId="25" borderId="19" xfId="121" applyFont="1" applyFill="1" applyBorder="1" applyAlignment="1" applyProtection="1">
      <alignment horizontal="center"/>
      <protection hidden="1"/>
    </xf>
    <xf numFmtId="173" fontId="0" fillId="22" borderId="19" xfId="81" applyNumberFormat="1" applyFont="1" applyFill="1" applyBorder="1" applyAlignment="1" applyProtection="1">
      <alignment horizontal="center" wrapText="1"/>
      <protection hidden="1"/>
    </xf>
    <xf numFmtId="0" fontId="0" fillId="22" borderId="19" xfId="121" applyFont="1" applyFill="1" applyBorder="1" applyAlignment="1" applyProtection="1">
      <alignment horizontal="center"/>
      <protection locked="0"/>
    </xf>
    <xf numFmtId="1" fontId="0" fillId="25" borderId="19" xfId="121" applyNumberFormat="1" applyFont="1" applyFill="1" applyBorder="1" applyAlignment="1" applyProtection="1">
      <alignment horizontal="center"/>
      <protection hidden="1"/>
    </xf>
    <xf numFmtId="2" fontId="0" fillId="25" borderId="19" xfId="81" applyNumberFormat="1" applyFont="1" applyFill="1" applyBorder="1" applyAlignment="1" applyProtection="1">
      <alignment horizontal="center"/>
      <protection hidden="1"/>
    </xf>
    <xf numFmtId="0" fontId="0" fillId="25" borderId="10" xfId="121" applyFont="1" applyFill="1" applyBorder="1" applyAlignment="1" applyProtection="1">
      <alignment horizontal="center"/>
      <protection hidden="1"/>
    </xf>
    <xf numFmtId="0" fontId="0" fillId="25" borderId="25" xfId="121" applyFont="1" applyFill="1" applyBorder="1" applyAlignment="1" applyProtection="1">
      <alignment horizontal="center"/>
      <protection hidden="1"/>
    </xf>
    <xf numFmtId="0" fontId="0" fillId="25" borderId="15" xfId="121" applyFont="1" applyFill="1" applyBorder="1" applyAlignment="1" applyProtection="1">
      <alignment horizontal="center"/>
      <protection hidden="1"/>
    </xf>
    <xf numFmtId="0" fontId="0" fillId="25" borderId="14" xfId="121" applyFont="1" applyFill="1" applyBorder="1" applyAlignment="1" applyProtection="1">
      <alignment horizontal="center"/>
      <protection hidden="1"/>
    </xf>
    <xf numFmtId="2" fontId="0" fillId="25" borderId="12" xfId="121" applyNumberFormat="1" applyFont="1" applyFill="1" applyBorder="1" applyAlignment="1" applyProtection="1">
      <alignment horizontal="center"/>
      <protection hidden="1"/>
    </xf>
    <xf numFmtId="2" fontId="0" fillId="22" borderId="12" xfId="121" applyNumberFormat="1" applyFont="1" applyFill="1" applyBorder="1" applyAlignment="1" applyProtection="1">
      <alignment horizontal="center"/>
      <protection locked="0"/>
    </xf>
    <xf numFmtId="0" fontId="0" fillId="25" borderId="16" xfId="81" applyFont="1" applyFill="1" applyBorder="1" applyAlignment="1" applyProtection="1">
      <alignment wrapText="1"/>
      <protection locked="0"/>
    </xf>
    <xf numFmtId="172" fontId="0" fillId="25" borderId="17" xfId="81" applyNumberFormat="1" applyFont="1" applyFill="1" applyBorder="1" applyAlignment="1" applyProtection="1">
      <alignment wrapText="1"/>
      <protection locked="0"/>
    </xf>
    <xf numFmtId="172" fontId="0" fillId="25" borderId="41" xfId="81" applyNumberFormat="1" applyFont="1" applyFill="1" applyBorder="1" applyAlignment="1" applyProtection="1">
      <alignment wrapText="1"/>
      <protection locked="0"/>
    </xf>
    <xf numFmtId="2" fontId="0" fillId="25" borderId="42" xfId="81" applyNumberFormat="1" applyFont="1" applyFill="1" applyBorder="1" applyAlignment="1" applyProtection="1">
      <alignment wrapText="1"/>
      <protection hidden="1"/>
    </xf>
    <xf numFmtId="0" fontId="0" fillId="25" borderId="0" xfId="81" applyFont="1" applyFill="1" applyAlignment="1" applyProtection="1">
      <alignment horizontal="center"/>
      <protection hidden="1"/>
    </xf>
    <xf numFmtId="0" fontId="0" fillId="25" borderId="19" xfId="81" applyFont="1" applyFill="1" applyBorder="1" applyAlignment="1" applyProtection="1">
      <alignment wrapText="1"/>
      <protection locked="0"/>
    </xf>
    <xf numFmtId="172" fontId="0" fillId="25" borderId="19" xfId="81" applyNumberFormat="1" applyFont="1" applyFill="1" applyBorder="1" applyAlignment="1" applyProtection="1">
      <alignment wrapText="1"/>
      <protection locked="0"/>
    </xf>
    <xf numFmtId="2" fontId="0" fillId="25" borderId="19" xfId="81" applyNumberFormat="1" applyFont="1" applyFill="1" applyBorder="1" applyAlignment="1" applyProtection="1">
      <alignment wrapText="1"/>
      <protection hidden="1"/>
    </xf>
    <xf numFmtId="0" fontId="0" fillId="25" borderId="16" xfId="121" applyFont="1" applyFill="1" applyBorder="1" applyAlignment="1" applyProtection="1">
      <alignment horizontal="center"/>
      <protection hidden="1"/>
    </xf>
    <xf numFmtId="0" fontId="0" fillId="25" borderId="18" xfId="121" applyFont="1" applyFill="1" applyBorder="1" applyAlignment="1" applyProtection="1">
      <alignment horizontal="center"/>
      <protection hidden="1"/>
    </xf>
    <xf numFmtId="2" fontId="0" fillId="25" borderId="20" xfId="121" applyNumberFormat="1" applyFont="1" applyFill="1" applyBorder="1" applyAlignment="1" applyProtection="1">
      <alignment horizontal="center"/>
      <protection hidden="1"/>
    </xf>
    <xf numFmtId="2" fontId="0" fillId="22" borderId="19" xfId="121" applyNumberFormat="1" applyFont="1" applyFill="1" applyBorder="1" applyAlignment="1" applyProtection="1">
      <alignment horizontal="center"/>
      <protection locked="0"/>
    </xf>
    <xf numFmtId="2" fontId="0" fillId="25" borderId="21" xfId="121" applyNumberFormat="1" applyFont="1" applyFill="1" applyBorder="1" applyAlignment="1" applyProtection="1">
      <alignment horizontal="center"/>
      <protection hidden="1"/>
    </xf>
    <xf numFmtId="0" fontId="48" fillId="25" borderId="0" xfId="65" applyFont="1" applyFill="1" applyAlignment="1" applyProtection="1">
      <alignment vertical="top" wrapText="1"/>
      <protection hidden="1"/>
    </xf>
    <xf numFmtId="0" fontId="0" fillId="25" borderId="0" xfId="121" applyFont="1" applyFill="1" applyProtection="1">
      <alignment/>
      <protection hidden="1"/>
    </xf>
    <xf numFmtId="0" fontId="24" fillId="25" borderId="0" xfId="121" applyFont="1" applyFill="1" applyProtection="1">
      <alignment/>
      <protection hidden="1"/>
    </xf>
    <xf numFmtId="172" fontId="157" fillId="25" borderId="0" xfId="121" applyNumberFormat="1" applyFont="1" applyFill="1" applyBorder="1" applyAlignment="1" applyProtection="1">
      <alignment horizontal="right"/>
      <protection hidden="1"/>
    </xf>
    <xf numFmtId="0" fontId="0" fillId="25" borderId="0" xfId="81" applyFont="1" applyFill="1" applyBorder="1" applyProtection="1">
      <alignment/>
      <protection hidden="1"/>
    </xf>
    <xf numFmtId="0" fontId="0" fillId="25" borderId="0" xfId="81" applyFont="1" applyFill="1" applyProtection="1">
      <alignment/>
      <protection hidden="1"/>
    </xf>
    <xf numFmtId="173" fontId="0" fillId="25" borderId="0" xfId="81" applyNumberFormat="1" applyFont="1" applyFill="1" applyBorder="1" applyAlignment="1" applyProtection="1">
      <alignment horizontal="center" wrapText="1"/>
      <protection hidden="1"/>
    </xf>
    <xf numFmtId="0" fontId="0" fillId="25" borderId="0" xfId="121" applyFont="1" applyFill="1" applyAlignment="1" applyProtection="1">
      <alignment horizontal="center"/>
      <protection hidden="1"/>
    </xf>
    <xf numFmtId="0" fontId="0" fillId="25" borderId="0" xfId="121" applyFont="1" applyFill="1" applyAlignment="1" applyProtection="1">
      <alignment horizontal="right"/>
      <protection hidden="1"/>
    </xf>
    <xf numFmtId="177" fontId="0" fillId="25" borderId="0" xfId="81" applyNumberFormat="1" applyFont="1" applyFill="1" applyBorder="1" applyAlignment="1" applyProtection="1">
      <alignment horizontal="center"/>
      <protection hidden="1"/>
    </xf>
    <xf numFmtId="173" fontId="0" fillId="25" borderId="0" xfId="81" applyNumberFormat="1" applyFont="1" applyFill="1" applyProtection="1">
      <alignment/>
      <protection hidden="1"/>
    </xf>
    <xf numFmtId="2" fontId="0" fillId="25" borderId="0" xfId="81" applyNumberFormat="1" applyFont="1" applyFill="1" applyBorder="1" applyAlignment="1" applyProtection="1">
      <alignment horizontal="center" wrapText="1"/>
      <protection hidden="1"/>
    </xf>
    <xf numFmtId="0" fontId="0" fillId="25" borderId="0" xfId="81" applyNumberFormat="1" applyFont="1" applyFill="1" applyBorder="1" applyAlignment="1" applyProtection="1">
      <alignment horizontal="center" vertical="center" wrapText="1"/>
      <protection hidden="1"/>
    </xf>
    <xf numFmtId="0" fontId="0" fillId="25" borderId="0" xfId="81" applyNumberFormat="1" applyFont="1" applyFill="1" applyAlignment="1" applyProtection="1">
      <alignment horizontal="center" vertical="center"/>
      <protection hidden="1"/>
    </xf>
    <xf numFmtId="178" fontId="0" fillId="25" borderId="0" xfId="81" applyNumberFormat="1" applyFont="1" applyFill="1" applyAlignment="1" applyProtection="1">
      <alignment horizontal="center"/>
      <protection hidden="1"/>
    </xf>
    <xf numFmtId="178" fontId="0" fillId="25" borderId="0" xfId="81" applyNumberFormat="1" applyFont="1" applyFill="1" applyAlignment="1" applyProtection="1">
      <alignment horizontal="right"/>
      <protection hidden="1"/>
    </xf>
    <xf numFmtId="178" fontId="0" fillId="25" borderId="0" xfId="81" applyNumberFormat="1" applyFont="1" applyFill="1" applyProtection="1">
      <alignment/>
      <protection hidden="1"/>
    </xf>
    <xf numFmtId="0" fontId="0" fillId="25" borderId="0" xfId="108" applyFont="1" applyFill="1" applyProtection="1">
      <alignment/>
      <protection hidden="1"/>
    </xf>
    <xf numFmtId="0" fontId="0" fillId="25" borderId="0" xfId="81" applyFont="1" applyFill="1" applyAlignment="1" applyProtection="1">
      <alignment horizontal="right"/>
      <protection hidden="1"/>
    </xf>
    <xf numFmtId="177" fontId="11" fillId="25" borderId="0" xfId="81" applyNumberFormat="1" applyFont="1" applyFill="1" applyBorder="1" applyAlignment="1" applyProtection="1">
      <alignment horizontal="center" wrapText="1"/>
      <protection locked="0"/>
    </xf>
    <xf numFmtId="173" fontId="0" fillId="25" borderId="0" xfId="81" applyNumberFormat="1" applyFont="1" applyFill="1" applyBorder="1" applyAlignment="1" applyProtection="1">
      <alignment horizontal="left" wrapText="1"/>
      <protection hidden="1"/>
    </xf>
    <xf numFmtId="0" fontId="0" fillId="25" borderId="0" xfId="81" applyFont="1" applyFill="1" applyAlignment="1" applyProtection="1">
      <alignment vertical="center"/>
      <protection hidden="1"/>
    </xf>
    <xf numFmtId="0" fontId="0" fillId="25" borderId="0" xfId="121" applyFont="1" applyFill="1" applyAlignment="1" applyProtection="1">
      <alignment vertical="center"/>
      <protection hidden="1"/>
    </xf>
    <xf numFmtId="0" fontId="0" fillId="25" borderId="0" xfId="81" applyFont="1" applyFill="1" applyBorder="1" applyAlignment="1" applyProtection="1">
      <alignment vertical="center"/>
      <protection hidden="1"/>
    </xf>
    <xf numFmtId="0" fontId="0" fillId="25" borderId="0" xfId="81" applyFont="1" applyFill="1" applyBorder="1" applyAlignment="1" applyProtection="1">
      <alignment horizontal="left"/>
      <protection hidden="1"/>
    </xf>
    <xf numFmtId="177" fontId="11" fillId="25" borderId="0" xfId="81" applyNumberFormat="1" applyFont="1" applyFill="1" applyProtection="1">
      <alignment/>
      <protection locked="0"/>
    </xf>
    <xf numFmtId="0" fontId="0" fillId="25" borderId="0" xfId="81" applyFont="1" applyFill="1" applyAlignment="1" applyProtection="1">
      <alignment horizontal="left"/>
      <protection hidden="1"/>
    </xf>
    <xf numFmtId="0" fontId="24" fillId="25" borderId="0" xfId="81" applyFont="1" applyFill="1" applyProtection="1">
      <alignment/>
      <protection hidden="1"/>
    </xf>
    <xf numFmtId="0" fontId="24" fillId="25" borderId="0" xfId="121" applyFont="1" applyFill="1" applyAlignment="1" applyProtection="1">
      <alignment horizontal="center"/>
      <protection hidden="1"/>
    </xf>
    <xf numFmtId="0" fontId="105" fillId="25" borderId="10" xfId="81" applyFont="1" applyFill="1" applyBorder="1" applyAlignment="1" applyProtection="1">
      <alignment horizontal="centerContinuous"/>
      <protection hidden="1"/>
    </xf>
    <xf numFmtId="173" fontId="105" fillId="25" borderId="11" xfId="81" applyNumberFormat="1" applyFont="1" applyFill="1" applyBorder="1" applyAlignment="1" applyProtection="1">
      <alignment horizontal="center" vertical="center" wrapText="1"/>
      <protection hidden="1"/>
    </xf>
    <xf numFmtId="173" fontId="105" fillId="25" borderId="12" xfId="81" applyNumberFormat="1" applyFont="1" applyFill="1" applyBorder="1" applyAlignment="1" applyProtection="1">
      <alignment horizontal="center"/>
      <protection hidden="1"/>
    </xf>
    <xf numFmtId="0" fontId="105" fillId="25" borderId="15" xfId="81" applyFont="1" applyFill="1" applyBorder="1" applyAlignment="1" applyProtection="1">
      <alignment horizontal="right"/>
      <protection hidden="1"/>
    </xf>
    <xf numFmtId="0" fontId="3" fillId="25" borderId="19" xfId="81" applyFont="1" applyFill="1" applyBorder="1" applyProtection="1">
      <alignment/>
      <protection hidden="1"/>
    </xf>
    <xf numFmtId="173" fontId="3" fillId="25" borderId="19" xfId="81" applyNumberFormat="1" applyFont="1" applyFill="1" applyBorder="1" applyProtection="1">
      <alignment/>
      <protection hidden="1"/>
    </xf>
    <xf numFmtId="0" fontId="3" fillId="25" borderId="19" xfId="111" applyFont="1" applyFill="1" applyBorder="1" applyProtection="1">
      <alignment/>
      <protection hidden="1"/>
    </xf>
    <xf numFmtId="2" fontId="3" fillId="25" borderId="19" xfId="81" applyNumberFormat="1" applyFont="1" applyFill="1" applyBorder="1" applyProtection="1">
      <alignment/>
      <protection hidden="1"/>
    </xf>
    <xf numFmtId="0" fontId="3" fillId="25" borderId="11" xfId="81" applyFont="1" applyFill="1" applyBorder="1" applyProtection="1">
      <alignment/>
      <protection hidden="1"/>
    </xf>
    <xf numFmtId="173" fontId="3" fillId="25" borderId="11" xfId="81" applyNumberFormat="1" applyFont="1" applyFill="1" applyBorder="1" applyProtection="1">
      <alignment/>
      <protection hidden="1"/>
    </xf>
    <xf numFmtId="2" fontId="3" fillId="25" borderId="11" xfId="81" applyNumberFormat="1" applyFont="1" applyFill="1" applyBorder="1" applyProtection="1">
      <alignment/>
      <protection hidden="1"/>
    </xf>
    <xf numFmtId="0" fontId="3" fillId="25" borderId="19" xfId="81" applyFont="1" applyFill="1" applyBorder="1" applyProtection="1">
      <alignment/>
      <protection/>
    </xf>
    <xf numFmtId="0" fontId="3" fillId="25" borderId="0" xfId="121" applyFont="1" applyFill="1" applyProtection="1">
      <alignment/>
      <protection hidden="1"/>
    </xf>
    <xf numFmtId="2" fontId="3" fillId="25" borderId="19" xfId="81" applyNumberFormat="1" applyFont="1" applyFill="1" applyBorder="1" applyProtection="1" quotePrefix="1">
      <alignment/>
      <protection hidden="1"/>
    </xf>
    <xf numFmtId="0" fontId="3" fillId="25" borderId="0" xfId="81" applyFont="1" applyFill="1" applyBorder="1" applyProtection="1">
      <alignment/>
      <protection hidden="1"/>
    </xf>
    <xf numFmtId="2" fontId="3" fillId="25" borderId="0" xfId="81" applyNumberFormat="1" applyFont="1" applyFill="1" applyBorder="1" applyProtection="1">
      <alignment/>
      <protection hidden="1"/>
    </xf>
    <xf numFmtId="0" fontId="23" fillId="25" borderId="0" xfId="121" applyFill="1" applyProtection="1">
      <alignment/>
      <protection hidden="1"/>
    </xf>
    <xf numFmtId="1" fontId="24" fillId="25" borderId="0" xfId="81" applyNumberFormat="1" applyFont="1" applyFill="1" applyBorder="1" applyProtection="1">
      <alignment/>
      <protection hidden="1"/>
    </xf>
    <xf numFmtId="2" fontId="0" fillId="25" borderId="0" xfId="81" applyNumberFormat="1" applyFont="1" applyFill="1" applyBorder="1" applyProtection="1">
      <alignment/>
      <protection hidden="1"/>
    </xf>
    <xf numFmtId="2" fontId="24" fillId="25" borderId="0" xfId="81" applyNumberFormat="1" applyFont="1" applyFill="1" applyProtection="1">
      <alignment/>
      <protection hidden="1"/>
    </xf>
    <xf numFmtId="0" fontId="3" fillId="25" borderId="0" xfId="108" applyFill="1" applyBorder="1" applyAlignment="1" applyProtection="1">
      <alignment horizontal="right"/>
      <protection hidden="1"/>
    </xf>
    <xf numFmtId="0" fontId="3" fillId="22" borderId="19" xfId="95" applyNumberFormat="1" applyFont="1" applyFill="1" applyBorder="1" applyAlignment="1" applyProtection="1">
      <alignment horizontal="center"/>
      <protection locked="0"/>
    </xf>
    <xf numFmtId="0" fontId="0" fillId="0" borderId="0" xfId="89" applyFill="1" applyProtection="1">
      <alignment/>
      <protection/>
    </xf>
    <xf numFmtId="0" fontId="3" fillId="0" borderId="0" xfId="89" applyFont="1" applyFill="1" applyBorder="1" applyProtection="1">
      <alignment/>
      <protection/>
    </xf>
    <xf numFmtId="0" fontId="0" fillId="0" borderId="0" xfId="89" applyFont="1" applyFill="1" applyBorder="1" applyProtection="1">
      <alignment/>
      <protection/>
    </xf>
    <xf numFmtId="0" fontId="3" fillId="0" borderId="0" xfId="89" applyFont="1" applyFill="1" applyBorder="1" applyProtection="1">
      <alignment/>
      <protection locked="0"/>
    </xf>
    <xf numFmtId="0" fontId="3" fillId="25" borderId="0" xfId="0" applyFont="1" applyFill="1" applyBorder="1" applyAlignment="1" applyProtection="1">
      <alignment horizontal="right"/>
      <protection hidden="1"/>
    </xf>
    <xf numFmtId="0" fontId="0" fillId="25" borderId="0" xfId="0" applyFill="1" applyBorder="1" applyAlignment="1">
      <alignment/>
    </xf>
    <xf numFmtId="0" fontId="0" fillId="25" borderId="0" xfId="108" applyFont="1" applyFill="1" applyBorder="1" applyAlignment="1" applyProtection="1">
      <alignment/>
      <protection hidden="1"/>
    </xf>
    <xf numFmtId="0" fontId="0" fillId="25" borderId="0" xfId="81" applyFont="1" applyFill="1" applyBorder="1" applyAlignment="1" applyProtection="1">
      <alignment horizontal="centerContinuous"/>
      <protection hidden="1"/>
    </xf>
    <xf numFmtId="0" fontId="3" fillId="25" borderId="0" xfId="108" applyFill="1" applyBorder="1" applyProtection="1">
      <alignment/>
      <protection hidden="1"/>
    </xf>
    <xf numFmtId="0" fontId="24" fillId="25" borderId="0" xfId="121" applyFont="1" applyFill="1" applyBorder="1" applyProtection="1">
      <alignment/>
      <protection hidden="1"/>
    </xf>
    <xf numFmtId="0" fontId="105" fillId="25" borderId="0" xfId="81" applyFont="1" applyFill="1" applyBorder="1" applyProtection="1">
      <alignment/>
      <protection hidden="1"/>
    </xf>
    <xf numFmtId="0" fontId="24" fillId="25" borderId="0" xfId="81" applyFont="1" applyFill="1" applyBorder="1" applyAlignment="1" applyProtection="1">
      <alignment horizontal="centerContinuous"/>
      <protection hidden="1"/>
    </xf>
    <xf numFmtId="0" fontId="0" fillId="25" borderId="0" xfId="121" applyFont="1" applyFill="1" applyBorder="1" applyProtection="1">
      <alignment/>
      <protection hidden="1"/>
    </xf>
    <xf numFmtId="0" fontId="0" fillId="25" borderId="0" xfId="0" applyFont="1" applyFill="1" applyBorder="1" applyAlignment="1" applyProtection="1">
      <alignment/>
      <protection hidden="1"/>
    </xf>
    <xf numFmtId="0" fontId="3" fillId="25" borderId="0" xfId="0" applyFont="1" applyFill="1" applyAlignment="1" applyProtection="1">
      <alignment/>
      <protection hidden="1"/>
    </xf>
    <xf numFmtId="0" fontId="0" fillId="25" borderId="0" xfId="0" applyFont="1" applyFill="1" applyAlignment="1">
      <alignment/>
    </xf>
    <xf numFmtId="0" fontId="0" fillId="25" borderId="0" xfId="0" applyFont="1" applyFill="1" applyAlignment="1" applyProtection="1">
      <alignment/>
      <protection hidden="1"/>
    </xf>
    <xf numFmtId="0" fontId="0" fillId="25" borderId="19" xfId="121" applyFont="1" applyFill="1" applyBorder="1" applyAlignment="1" applyProtection="1">
      <alignment horizontal="center"/>
      <protection hidden="1"/>
    </xf>
    <xf numFmtId="173" fontId="0" fillId="25" borderId="19" xfId="121" applyNumberFormat="1" applyFont="1" applyFill="1" applyBorder="1" applyAlignment="1" applyProtection="1">
      <alignment horizontal="center"/>
      <protection hidden="1"/>
    </xf>
    <xf numFmtId="0" fontId="0" fillId="22" borderId="19" xfId="121" applyFont="1" applyFill="1" applyBorder="1" applyAlignment="1" applyProtection="1">
      <alignment horizontal="center"/>
      <protection locked="0"/>
    </xf>
    <xf numFmtId="0" fontId="0" fillId="25" borderId="0" xfId="0" applyFont="1" applyFill="1" applyAlignment="1" applyProtection="1">
      <alignment/>
      <protection hidden="1"/>
    </xf>
    <xf numFmtId="0" fontId="3" fillId="25" borderId="0" xfId="111" applyFont="1" applyFill="1" applyProtection="1">
      <alignment/>
      <protection/>
    </xf>
    <xf numFmtId="2" fontId="30" fillId="25" borderId="0" xfId="89" applyNumberFormat="1" applyFont="1" applyFill="1" applyAlignment="1" applyProtection="1">
      <alignment horizontal="center"/>
      <protection hidden="1"/>
    </xf>
    <xf numFmtId="173" fontId="0" fillId="25" borderId="19" xfId="81" applyNumberFormat="1" applyFont="1" applyFill="1" applyBorder="1" applyAlignment="1" applyProtection="1">
      <alignment horizontal="center"/>
      <protection hidden="1"/>
    </xf>
    <xf numFmtId="0" fontId="0" fillId="25" borderId="0" xfId="0" applyFill="1" applyAlignment="1" applyProtection="1">
      <alignment horizontal="centerContinuous"/>
      <protection hidden="1"/>
    </xf>
    <xf numFmtId="0" fontId="161" fillId="25" borderId="0" xfId="0" applyFont="1" applyFill="1" applyAlignment="1" applyProtection="1">
      <alignment horizontal="centerContinuous"/>
      <protection hidden="1"/>
    </xf>
    <xf numFmtId="0" fontId="10" fillId="25" borderId="0" xfId="0" applyFont="1" applyFill="1" applyAlignment="1" applyProtection="1">
      <alignment horizontal="right"/>
      <protection hidden="1"/>
    </xf>
    <xf numFmtId="0" fontId="24" fillId="25" borderId="0" xfId="0" applyFont="1" applyFill="1" applyAlignment="1" applyProtection="1">
      <alignment vertical="center"/>
      <protection hidden="1"/>
    </xf>
    <xf numFmtId="0" fontId="162" fillId="25" borderId="0" xfId="67" applyFont="1" applyFill="1" applyAlignment="1" applyProtection="1">
      <alignment horizontal="left" vertical="center"/>
      <protection hidden="1"/>
    </xf>
    <xf numFmtId="0" fontId="10" fillId="25" borderId="0" xfId="0" applyFont="1" applyFill="1" applyAlignment="1" applyProtection="1">
      <alignment/>
      <protection hidden="1"/>
    </xf>
    <xf numFmtId="0" fontId="3" fillId="25" borderId="0" xfId="0" applyFont="1" applyFill="1" applyAlignment="1" applyProtection="1">
      <alignment vertical="center"/>
      <protection hidden="1"/>
    </xf>
    <xf numFmtId="0" fontId="24" fillId="25" borderId="0" xfId="0" applyFont="1" applyFill="1" applyBorder="1" applyAlignment="1" applyProtection="1">
      <alignment/>
      <protection hidden="1"/>
    </xf>
    <xf numFmtId="0" fontId="96" fillId="25" borderId="0" xfId="112" applyFont="1" applyFill="1" applyAlignment="1" applyProtection="1">
      <alignment/>
      <protection hidden="1"/>
    </xf>
    <xf numFmtId="0" fontId="9" fillId="25" borderId="0" xfId="0" applyFont="1" applyFill="1" applyAlignment="1" applyProtection="1">
      <alignment vertical="center"/>
      <protection hidden="1"/>
    </xf>
    <xf numFmtId="0" fontId="38" fillId="25" borderId="0" xfId="0" applyFont="1" applyFill="1" applyAlignment="1">
      <alignment horizontal="left" wrapText="1"/>
    </xf>
    <xf numFmtId="0" fontId="163" fillId="25" borderId="0" xfId="0" applyFont="1" applyFill="1" applyAlignment="1">
      <alignment horizontal="left" wrapText="1"/>
    </xf>
    <xf numFmtId="0" fontId="18" fillId="25" borderId="0" xfId="67" applyFont="1" applyFill="1" applyAlignment="1" applyProtection="1">
      <alignment horizontal="right"/>
      <protection hidden="1"/>
    </xf>
    <xf numFmtId="0" fontId="15" fillId="25" borderId="0" xfId="0" applyFont="1" applyFill="1" applyAlignment="1" applyProtection="1">
      <alignment vertical="center"/>
      <protection hidden="1"/>
    </xf>
    <xf numFmtId="0" fontId="8" fillId="25" borderId="0" xfId="0" applyFont="1" applyFill="1" applyAlignment="1">
      <alignment horizontal="left" wrapText="1"/>
    </xf>
    <xf numFmtId="0" fontId="18" fillId="25" borderId="0" xfId="67" applyFont="1" applyFill="1" applyBorder="1" applyAlignment="1" applyProtection="1">
      <alignment horizontal="right"/>
      <protection hidden="1"/>
    </xf>
    <xf numFmtId="2" fontId="18" fillId="25" borderId="0" xfId="67" applyNumberFormat="1" applyFont="1" applyFill="1" applyBorder="1" applyAlignment="1" applyProtection="1">
      <alignment horizontal="right"/>
      <protection hidden="1"/>
    </xf>
    <xf numFmtId="0" fontId="3" fillId="25" borderId="0" xfId="110" applyFill="1">
      <alignment/>
      <protection/>
    </xf>
    <xf numFmtId="0" fontId="167" fillId="25" borderId="0" xfId="93" applyFont="1" applyFill="1" applyProtection="1">
      <alignment/>
      <protection locked="0"/>
    </xf>
    <xf numFmtId="0" fontId="168" fillId="25" borderId="0" xfId="93" applyFont="1" applyFill="1" applyAlignment="1" applyProtection="1">
      <alignment horizontal="center"/>
      <protection locked="0"/>
    </xf>
    <xf numFmtId="49" fontId="168" fillId="25" borderId="0" xfId="93" applyNumberFormat="1" applyFont="1" applyFill="1" applyAlignment="1" applyProtection="1">
      <alignment horizontal="center"/>
      <protection locked="0"/>
    </xf>
    <xf numFmtId="0" fontId="168" fillId="25" borderId="16" xfId="93" applyFont="1" applyFill="1" applyBorder="1" applyAlignment="1" applyProtection="1">
      <alignment horizontal="center"/>
      <protection/>
    </xf>
    <xf numFmtId="0" fontId="168" fillId="25" borderId="0" xfId="93" applyFont="1" applyFill="1" applyBorder="1" applyAlignment="1" applyProtection="1">
      <alignment horizontal="center"/>
      <protection/>
    </xf>
    <xf numFmtId="0" fontId="168" fillId="25" borderId="18" xfId="93" applyFont="1" applyFill="1" applyBorder="1" applyProtection="1">
      <alignment/>
      <protection locked="0"/>
    </xf>
    <xf numFmtId="0" fontId="168" fillId="25" borderId="0" xfId="93" applyFont="1" applyFill="1" applyProtection="1">
      <alignment/>
      <protection locked="0"/>
    </xf>
    <xf numFmtId="1" fontId="168" fillId="25" borderId="16" xfId="93" applyNumberFormat="1" applyFont="1" applyFill="1" applyBorder="1" applyAlignment="1" applyProtection="1">
      <alignment horizontal="center"/>
      <protection/>
    </xf>
    <xf numFmtId="1" fontId="168" fillId="25" borderId="0" xfId="93" applyNumberFormat="1" applyFont="1" applyFill="1" applyBorder="1" applyAlignment="1" applyProtection="1">
      <alignment horizontal="center"/>
      <protection/>
    </xf>
    <xf numFmtId="0" fontId="168" fillId="25" borderId="18" xfId="110" applyFont="1" applyFill="1" applyBorder="1" applyProtection="1">
      <alignment/>
      <protection locked="0"/>
    </xf>
    <xf numFmtId="0" fontId="168" fillId="25" borderId="18" xfId="0" applyFont="1" applyFill="1" applyBorder="1" applyAlignment="1" applyProtection="1">
      <alignment/>
      <protection locked="0"/>
    </xf>
    <xf numFmtId="0" fontId="168" fillId="25" borderId="0" xfId="93" applyFont="1" applyFill="1" applyAlignment="1" applyProtection="1">
      <alignment horizontal="left"/>
      <protection locked="0"/>
    </xf>
    <xf numFmtId="49" fontId="168" fillId="25" borderId="0" xfId="93" applyNumberFormat="1" applyFont="1" applyFill="1" applyProtection="1">
      <alignment/>
      <protection locked="0"/>
    </xf>
    <xf numFmtId="0" fontId="168" fillId="25" borderId="16" xfId="93" applyFont="1" applyFill="1" applyBorder="1" applyProtection="1">
      <alignment/>
      <protection/>
    </xf>
    <xf numFmtId="0" fontId="168" fillId="25" borderId="0" xfId="93" applyFont="1" applyFill="1" applyBorder="1" applyProtection="1">
      <alignment/>
      <protection/>
    </xf>
    <xf numFmtId="0" fontId="168" fillId="25" borderId="15" xfId="93" applyFont="1" applyFill="1" applyBorder="1" applyProtection="1">
      <alignment/>
      <protection/>
    </xf>
    <xf numFmtId="0" fontId="168" fillId="25" borderId="13" xfId="93" applyFont="1" applyFill="1" applyBorder="1" applyProtection="1">
      <alignment/>
      <protection/>
    </xf>
    <xf numFmtId="0" fontId="168" fillId="25" borderId="14" xfId="93" applyFont="1" applyFill="1" applyBorder="1" applyProtection="1">
      <alignment/>
      <protection locked="0"/>
    </xf>
    <xf numFmtId="0" fontId="168" fillId="25" borderId="0" xfId="93" applyFont="1" applyFill="1" applyBorder="1" applyProtection="1">
      <alignment/>
      <protection locked="0"/>
    </xf>
    <xf numFmtId="0" fontId="168" fillId="25" borderId="0" xfId="93" applyFont="1" applyFill="1" applyProtection="1">
      <alignment/>
      <protection/>
    </xf>
    <xf numFmtId="0" fontId="170" fillId="25" borderId="0" xfId="85" applyFont="1" applyFill="1" applyBorder="1" applyAlignment="1" applyProtection="1">
      <alignment horizontal="left"/>
      <protection hidden="1"/>
    </xf>
    <xf numFmtId="0" fontId="171" fillId="25" borderId="0" xfId="85" applyFont="1" applyFill="1" applyBorder="1" applyAlignment="1" applyProtection="1">
      <alignment horizontal="left"/>
      <protection hidden="1"/>
    </xf>
    <xf numFmtId="0" fontId="170" fillId="25" borderId="0" xfId="110" applyFont="1" applyFill="1" applyBorder="1" applyProtection="1">
      <alignment/>
      <protection hidden="1"/>
    </xf>
    <xf numFmtId="0" fontId="170" fillId="25" borderId="0" xfId="110" applyFont="1" applyFill="1" applyBorder="1" applyAlignment="1" applyProtection="1">
      <alignment horizontal="right"/>
      <protection hidden="1"/>
    </xf>
    <xf numFmtId="0" fontId="0" fillId="0" borderId="0" xfId="93">
      <alignment/>
      <protection/>
    </xf>
    <xf numFmtId="49" fontId="0" fillId="0" borderId="0" xfId="93" applyNumberFormat="1">
      <alignment/>
      <protection/>
    </xf>
    <xf numFmtId="0" fontId="0" fillId="0" borderId="0" xfId="93" applyProtection="1">
      <alignment/>
      <protection/>
    </xf>
    <xf numFmtId="0" fontId="3" fillId="0" borderId="0" xfId="110">
      <alignment/>
      <protection/>
    </xf>
    <xf numFmtId="0" fontId="44" fillId="25" borderId="0" xfId="0" applyFont="1" applyFill="1" applyAlignment="1" applyProtection="1">
      <alignment/>
      <protection hidden="1"/>
    </xf>
    <xf numFmtId="0" fontId="3" fillId="0" borderId="0" xfId="99" applyFont="1" applyFill="1" applyAlignment="1" applyProtection="1">
      <alignment/>
      <protection/>
    </xf>
    <xf numFmtId="0" fontId="3" fillId="0" borderId="0" xfId="113" applyAlignment="1">
      <alignment/>
      <protection/>
    </xf>
    <xf numFmtId="0" fontId="0" fillId="0" borderId="0" xfId="99" applyAlignment="1">
      <alignment/>
      <protection/>
    </xf>
    <xf numFmtId="1" fontId="3" fillId="0" borderId="0" xfId="113" applyNumberFormat="1" applyFont="1" applyAlignment="1">
      <alignment/>
      <protection/>
    </xf>
    <xf numFmtId="0" fontId="133" fillId="0" borderId="0" xfId="99" applyFont="1" applyFill="1" applyBorder="1" applyAlignment="1" applyProtection="1">
      <alignment/>
      <protection locked="0"/>
    </xf>
    <xf numFmtId="0" fontId="3" fillId="0" borderId="0" xfId="113" applyFill="1" applyBorder="1" applyAlignment="1">
      <alignment/>
      <protection/>
    </xf>
    <xf numFmtId="0" fontId="6" fillId="0" borderId="0" xfId="99" applyFont="1" applyFill="1" applyBorder="1" applyAlignment="1" applyProtection="1">
      <alignment/>
      <protection locked="0"/>
    </xf>
    <xf numFmtId="0" fontId="133" fillId="0" borderId="0" xfId="113" applyFont="1" applyAlignment="1">
      <alignment/>
      <protection/>
    </xf>
    <xf numFmtId="172" fontId="3" fillId="0" borderId="0" xfId="113" applyNumberFormat="1" applyAlignment="1">
      <alignment/>
      <protection/>
    </xf>
    <xf numFmtId="0" fontId="6" fillId="0" borderId="0" xfId="99" applyFont="1" applyAlignment="1">
      <alignment/>
      <protection/>
    </xf>
    <xf numFmtId="0" fontId="139" fillId="0" borderId="0" xfId="99" applyFont="1" applyAlignment="1">
      <alignment/>
      <protection/>
    </xf>
    <xf numFmtId="0" fontId="3" fillId="0" borderId="0" xfId="113" applyFill="1" applyAlignment="1">
      <alignment/>
      <protection/>
    </xf>
    <xf numFmtId="172" fontId="0" fillId="0" borderId="0" xfId="99" applyNumberFormat="1" applyFill="1" applyAlignment="1">
      <alignment/>
      <protection/>
    </xf>
    <xf numFmtId="0" fontId="0" fillId="0" borderId="0" xfId="99" applyFont="1" applyAlignment="1">
      <alignment/>
      <protection/>
    </xf>
    <xf numFmtId="0" fontId="7" fillId="0" borderId="16" xfId="99" applyFont="1" applyFill="1" applyBorder="1" applyAlignment="1" applyProtection="1">
      <alignment horizontal="left"/>
      <protection hidden="1"/>
    </xf>
    <xf numFmtId="9" fontId="6" fillId="4" borderId="16" xfId="99" applyNumberFormat="1" applyFont="1" applyFill="1" applyBorder="1" applyProtection="1">
      <alignment/>
      <protection locked="0"/>
    </xf>
    <xf numFmtId="0" fontId="3" fillId="0" borderId="0" xfId="113" applyFont="1" applyAlignment="1" applyProtection="1">
      <alignment/>
      <protection hidden="1"/>
    </xf>
    <xf numFmtId="0" fontId="6" fillId="0" borderId="0" xfId="113" applyFont="1" applyProtection="1">
      <alignment/>
      <protection hidden="1"/>
    </xf>
    <xf numFmtId="0" fontId="6" fillId="0" borderId="0" xfId="113" applyFont="1" applyAlignment="1" applyProtection="1">
      <alignment/>
      <protection hidden="1"/>
    </xf>
    <xf numFmtId="1" fontId="6" fillId="0" borderId="0" xfId="113" applyNumberFormat="1" applyFont="1" applyAlignment="1" applyProtection="1">
      <alignment/>
      <protection hidden="1"/>
    </xf>
    <xf numFmtId="0" fontId="103" fillId="0" borderId="16" xfId="99" applyFont="1" applyFill="1" applyBorder="1" applyAlignment="1" applyProtection="1">
      <alignment horizontal="left"/>
      <protection hidden="1"/>
    </xf>
    <xf numFmtId="0" fontId="6" fillId="0" borderId="0" xfId="99" applyFont="1" applyFill="1" applyAlignment="1" applyProtection="1">
      <alignment/>
      <protection hidden="1"/>
    </xf>
    <xf numFmtId="0" fontId="6" fillId="0" borderId="0" xfId="99" applyFont="1" applyFill="1" applyAlignment="1" applyProtection="1">
      <alignment horizontal="centerContinuous"/>
      <protection hidden="1"/>
    </xf>
    <xf numFmtId="0" fontId="6" fillId="0" borderId="0" xfId="113" applyFont="1" applyBorder="1" applyAlignment="1" applyProtection="1">
      <alignment horizontal="center"/>
      <protection hidden="1"/>
    </xf>
    <xf numFmtId="0" fontId="6" fillId="29" borderId="0" xfId="113" applyFont="1" applyFill="1" applyAlignment="1" applyProtection="1">
      <alignment/>
      <protection locked="0"/>
    </xf>
    <xf numFmtId="0" fontId="6" fillId="25" borderId="0" xfId="113" applyFont="1" applyFill="1">
      <alignment/>
      <protection/>
    </xf>
    <xf numFmtId="2" fontId="130" fillId="25" borderId="0" xfId="99" applyNumberFormat="1" applyFont="1" applyFill="1" applyBorder="1" applyAlignment="1" applyProtection="1">
      <alignment/>
      <protection hidden="1"/>
    </xf>
    <xf numFmtId="0" fontId="130" fillId="25" borderId="0" xfId="99" applyFont="1" applyFill="1" applyAlignment="1" applyProtection="1">
      <alignment/>
      <protection hidden="1"/>
    </xf>
    <xf numFmtId="2" fontId="130" fillId="25" borderId="0" xfId="99" applyNumberFormat="1" applyFont="1" applyFill="1" applyAlignment="1" applyProtection="1">
      <alignment/>
      <protection hidden="1"/>
    </xf>
    <xf numFmtId="0" fontId="152" fillId="25" borderId="0" xfId="89" applyFont="1" applyFill="1" applyAlignment="1">
      <alignment horizontal="right"/>
      <protection/>
    </xf>
    <xf numFmtId="0" fontId="3" fillId="25" borderId="0" xfId="89" applyFont="1" applyFill="1" applyAlignment="1">
      <alignment/>
      <protection/>
    </xf>
    <xf numFmtId="0" fontId="3" fillId="25" borderId="0" xfId="0" applyFont="1" applyFill="1" applyBorder="1" applyAlignment="1" applyProtection="1">
      <alignment horizontal="left" vertical="center" wrapText="1"/>
      <protection hidden="1"/>
    </xf>
    <xf numFmtId="0" fontId="162" fillId="25" borderId="0" xfId="65" applyFont="1" applyFill="1" applyAlignment="1" applyProtection="1">
      <alignment horizontal="left" vertical="center"/>
      <protection hidden="1"/>
    </xf>
    <xf numFmtId="0" fontId="2" fillId="25" borderId="0" xfId="65" applyFill="1" applyAlignment="1" applyProtection="1">
      <alignment/>
      <protection hidden="1"/>
    </xf>
    <xf numFmtId="0" fontId="17" fillId="25" borderId="0" xfId="0" applyFont="1" applyFill="1" applyBorder="1" applyAlignment="1" applyProtection="1">
      <alignment horizontal="left"/>
      <protection hidden="1"/>
    </xf>
    <xf numFmtId="0" fontId="3" fillId="25" borderId="19" xfId="0" applyFont="1" applyFill="1" applyBorder="1" applyAlignment="1" applyProtection="1">
      <alignment horizontal="center"/>
      <protection hidden="1"/>
    </xf>
    <xf numFmtId="0" fontId="17" fillId="25" borderId="0" xfId="89" applyFont="1" applyFill="1" applyBorder="1" applyProtection="1">
      <alignment/>
      <protection hidden="1"/>
    </xf>
    <xf numFmtId="0" fontId="3" fillId="25" borderId="19" xfId="89" applyFont="1" applyFill="1" applyBorder="1" applyAlignment="1" applyProtection="1">
      <alignment horizontal="center"/>
      <protection hidden="1"/>
    </xf>
    <xf numFmtId="2" fontId="3" fillId="22" borderId="19" xfId="89" applyNumberFormat="1" applyFont="1" applyFill="1" applyBorder="1" applyAlignment="1" applyProtection="1">
      <alignment horizontal="center"/>
      <protection locked="0"/>
    </xf>
    <xf numFmtId="172" fontId="3" fillId="25" borderId="19" xfId="89" applyNumberFormat="1" applyFont="1" applyFill="1" applyBorder="1" applyAlignment="1" applyProtection="1">
      <alignment horizontal="center"/>
      <protection hidden="1"/>
    </xf>
    <xf numFmtId="0" fontId="3" fillId="22" borderId="19" xfId="89" applyFont="1" applyFill="1" applyBorder="1" applyAlignment="1" applyProtection="1">
      <alignment horizontal="center"/>
      <protection locked="0"/>
    </xf>
    <xf numFmtId="2" fontId="3" fillId="25" borderId="19" xfId="89" applyNumberFormat="1" applyFont="1" applyFill="1" applyBorder="1" applyAlignment="1" applyProtection="1">
      <alignment horizontal="center"/>
      <protection hidden="1"/>
    </xf>
    <xf numFmtId="0" fontId="3" fillId="25" borderId="19" xfId="84" applyFont="1" applyFill="1" applyBorder="1" applyAlignment="1" applyProtection="1">
      <alignment horizontal="left"/>
      <protection hidden="1"/>
    </xf>
    <xf numFmtId="0" fontId="3" fillId="22" borderId="19" xfId="84" applyFont="1" applyFill="1" applyBorder="1" applyAlignment="1" applyProtection="1">
      <alignment horizontal="center"/>
      <protection locked="0"/>
    </xf>
    <xf numFmtId="0" fontId="3" fillId="25" borderId="19" xfId="84" applyFont="1" applyFill="1" applyBorder="1" applyProtection="1">
      <alignment/>
      <protection hidden="1"/>
    </xf>
    <xf numFmtId="1" fontId="7" fillId="22" borderId="43" xfId="89" applyNumberFormat="1" applyFont="1" applyFill="1" applyBorder="1" applyAlignment="1" applyProtection="1">
      <alignment horizontal="center" vertical="center" wrapText="1"/>
      <protection locked="0"/>
    </xf>
    <xf numFmtId="0" fontId="17" fillId="25" borderId="0" xfId="89" applyFont="1" applyFill="1" applyAlignment="1" applyProtection="1">
      <alignment horizontal="right"/>
      <protection/>
    </xf>
    <xf numFmtId="0" fontId="3" fillId="25" borderId="19" xfId="95" applyFont="1" applyFill="1" applyBorder="1" applyAlignment="1" applyProtection="1">
      <alignment horizontal="center"/>
      <protection hidden="1"/>
    </xf>
    <xf numFmtId="0" fontId="0" fillId="25" borderId="0" xfId="0" applyFill="1" applyBorder="1" applyAlignment="1" applyProtection="1">
      <alignment horizontal="left"/>
      <protection hidden="1"/>
    </xf>
    <xf numFmtId="0" fontId="3" fillId="25" borderId="0" xfId="95" applyFill="1" applyBorder="1" applyProtection="1">
      <alignment/>
      <protection hidden="1"/>
    </xf>
    <xf numFmtId="0" fontId="0" fillId="25" borderId="0" xfId="89" applyFill="1" applyBorder="1" applyAlignment="1" applyProtection="1">
      <alignment horizontal="left"/>
      <protection hidden="1"/>
    </xf>
    <xf numFmtId="0" fontId="0" fillId="25" borderId="0" xfId="89" applyFill="1" applyBorder="1" applyAlignment="1">
      <alignment horizontal="center"/>
      <protection/>
    </xf>
    <xf numFmtId="0" fontId="3" fillId="25" borderId="0" xfId="89" applyFont="1" applyFill="1" applyBorder="1" applyAlignment="1">
      <alignment horizontal="center"/>
      <protection/>
    </xf>
    <xf numFmtId="0" fontId="0" fillId="0" borderId="0" xfId="89" applyBorder="1" applyProtection="1">
      <alignment/>
      <protection hidden="1"/>
    </xf>
    <xf numFmtId="0" fontId="3" fillId="25" borderId="10" xfId="95" applyFont="1" applyFill="1" applyBorder="1" applyAlignment="1" applyProtection="1">
      <alignment horizontal="center"/>
      <protection hidden="1"/>
    </xf>
    <xf numFmtId="0" fontId="3" fillId="25" borderId="11" xfId="89" applyFont="1" applyFill="1" applyBorder="1" applyAlignment="1" applyProtection="1">
      <alignment horizontal="center"/>
      <protection hidden="1"/>
    </xf>
    <xf numFmtId="0" fontId="3" fillId="25" borderId="25" xfId="89" applyFont="1" applyFill="1" applyBorder="1" applyAlignment="1" applyProtection="1">
      <alignment horizontal="center"/>
      <protection hidden="1"/>
    </xf>
    <xf numFmtId="173" fontId="0" fillId="25" borderId="0" xfId="89" applyNumberFormat="1" applyFill="1" applyBorder="1" applyProtection="1">
      <alignment/>
      <protection/>
    </xf>
    <xf numFmtId="0" fontId="163" fillId="25" borderId="15" xfId="111" applyFont="1" applyFill="1" applyBorder="1" applyAlignment="1" applyProtection="1">
      <alignment horizontal="center"/>
      <protection hidden="1"/>
    </xf>
    <xf numFmtId="0" fontId="3" fillId="25" borderId="12" xfId="89" applyFont="1" applyFill="1" applyBorder="1" applyAlignment="1" applyProtection="1">
      <alignment horizontal="center"/>
      <protection hidden="1"/>
    </xf>
    <xf numFmtId="0" fontId="163" fillId="25" borderId="14" xfId="89" applyFont="1" applyFill="1" applyBorder="1" applyAlignment="1" applyProtection="1">
      <alignment horizontal="center"/>
      <protection hidden="1"/>
    </xf>
    <xf numFmtId="1" fontId="3" fillId="25" borderId="19" xfId="89" applyNumberFormat="1" applyFont="1" applyFill="1" applyBorder="1" applyAlignment="1" applyProtection="1">
      <alignment horizontal="center"/>
      <protection hidden="1"/>
    </xf>
    <xf numFmtId="1" fontId="3" fillId="22" borderId="19" xfId="89" applyNumberFormat="1" applyFont="1" applyFill="1" applyBorder="1" applyAlignment="1" applyProtection="1">
      <alignment horizontal="center"/>
      <protection locked="0"/>
    </xf>
    <xf numFmtId="172" fontId="3" fillId="22" borderId="19" xfId="89" applyNumberFormat="1" applyFont="1" applyFill="1" applyBorder="1" applyAlignment="1" applyProtection="1">
      <alignment horizontal="center"/>
      <protection locked="0"/>
    </xf>
    <xf numFmtId="0" fontId="3" fillId="25" borderId="0" xfId="0" applyFont="1" applyFill="1" applyBorder="1" applyAlignment="1" applyProtection="1">
      <alignment/>
      <protection hidden="1"/>
    </xf>
    <xf numFmtId="0" fontId="0" fillId="0" borderId="0" xfId="89" applyBorder="1" applyAlignment="1" applyProtection="1">
      <alignment horizontal="center"/>
      <protection hidden="1"/>
    </xf>
    <xf numFmtId="0" fontId="31" fillId="25" borderId="0" xfId="89" applyFont="1" applyFill="1" applyAlignment="1">
      <alignment horizontal="right"/>
      <protection/>
    </xf>
    <xf numFmtId="0" fontId="3" fillId="25" borderId="0" xfId="89" applyFont="1" applyFill="1" applyBorder="1" applyAlignment="1" applyProtection="1">
      <alignment horizontal="right"/>
      <protection/>
    </xf>
    <xf numFmtId="2" fontId="3" fillId="25" borderId="0" xfId="89" applyNumberFormat="1" applyFont="1" applyFill="1">
      <alignment/>
      <protection/>
    </xf>
    <xf numFmtId="2" fontId="3" fillId="25" borderId="0" xfId="89" applyNumberFormat="1" applyFont="1" applyFill="1" applyProtection="1">
      <alignment/>
      <protection hidden="1"/>
    </xf>
    <xf numFmtId="0" fontId="0" fillId="25" borderId="20" xfId="95" applyFont="1" applyFill="1" applyBorder="1" applyAlignment="1" applyProtection="1">
      <alignment vertical="center"/>
      <protection hidden="1"/>
    </xf>
    <xf numFmtId="0" fontId="3" fillId="25" borderId="20" xfId="89" applyFont="1" applyFill="1" applyBorder="1" applyAlignment="1">
      <alignment horizontal="center" vertical="center"/>
      <protection/>
    </xf>
    <xf numFmtId="0" fontId="0" fillId="25" borderId="0" xfId="89" applyFill="1" applyAlignment="1" applyProtection="1">
      <alignment vertical="center"/>
      <protection hidden="1"/>
    </xf>
    <xf numFmtId="0" fontId="3" fillId="25" borderId="16" xfId="89" applyFont="1" applyFill="1" applyBorder="1" applyAlignment="1">
      <alignment horizontal="center" vertical="center"/>
      <protection/>
    </xf>
    <xf numFmtId="0" fontId="3" fillId="25" borderId="16" xfId="95" applyFont="1" applyFill="1" applyBorder="1" applyAlignment="1">
      <alignment horizontal="center" vertical="center"/>
      <protection/>
    </xf>
    <xf numFmtId="0" fontId="3" fillId="25" borderId="18" xfId="95" applyFont="1" applyFill="1" applyBorder="1" applyAlignment="1">
      <alignment horizontal="center" vertical="center"/>
      <protection/>
    </xf>
    <xf numFmtId="0" fontId="3" fillId="27" borderId="16" xfId="95" applyFont="1" applyFill="1" applyBorder="1" applyAlignment="1" applyProtection="1">
      <alignment horizontal="center" vertical="center"/>
      <protection locked="0"/>
    </xf>
    <xf numFmtId="0" fontId="3" fillId="27" borderId="18" xfId="95" applyFont="1" applyFill="1" applyBorder="1" applyAlignment="1" applyProtection="1">
      <alignment horizontal="center" vertical="center"/>
      <protection locked="0"/>
    </xf>
    <xf numFmtId="0" fontId="3" fillId="25" borderId="10" xfId="95" applyFont="1" applyFill="1" applyBorder="1" applyAlignment="1" applyProtection="1">
      <alignment horizontal="center" vertical="center"/>
      <protection hidden="1"/>
    </xf>
    <xf numFmtId="0" fontId="3" fillId="25" borderId="25" xfId="95" applyFont="1" applyFill="1" applyBorder="1" applyAlignment="1" applyProtection="1">
      <alignment horizontal="center" vertical="center"/>
      <protection hidden="1"/>
    </xf>
    <xf numFmtId="0" fontId="9" fillId="25" borderId="19" xfId="89" applyFont="1" applyFill="1" applyBorder="1" applyAlignment="1" applyProtection="1">
      <alignment horizontal="right"/>
      <protection hidden="1"/>
    </xf>
    <xf numFmtId="0" fontId="3" fillId="27" borderId="15" xfId="95" applyFont="1" applyFill="1" applyBorder="1" applyAlignment="1" applyProtection="1">
      <alignment horizontal="center" vertical="center"/>
      <protection locked="0"/>
    </xf>
    <xf numFmtId="0" fontId="3" fillId="27" borderId="14" xfId="95" applyFont="1" applyFill="1" applyBorder="1" applyAlignment="1" applyProtection="1">
      <alignment horizontal="center" vertical="center"/>
      <protection locked="0"/>
    </xf>
    <xf numFmtId="0" fontId="3" fillId="25" borderId="20" xfId="95" applyFont="1" applyFill="1" applyBorder="1" applyAlignment="1" applyProtection="1">
      <alignment vertical="center"/>
      <protection hidden="1"/>
    </xf>
    <xf numFmtId="172" fontId="3" fillId="29" borderId="20" xfId="95" applyNumberFormat="1" applyFont="1" applyFill="1" applyBorder="1" applyAlignment="1" applyProtection="1">
      <alignment horizontal="center" vertical="center"/>
      <protection hidden="1"/>
    </xf>
    <xf numFmtId="0" fontId="3" fillId="29" borderId="16" xfId="95" applyFont="1" applyFill="1" applyBorder="1" applyAlignment="1" applyProtection="1">
      <alignment horizontal="right" vertical="center" wrapText="1"/>
      <protection hidden="1"/>
    </xf>
    <xf numFmtId="0" fontId="51" fillId="10" borderId="16" xfId="89" applyFont="1" applyFill="1" applyBorder="1" applyAlignment="1" applyProtection="1">
      <alignment horizontal="right" vertical="center" wrapText="1"/>
      <protection hidden="1"/>
    </xf>
    <xf numFmtId="0" fontId="3" fillId="11" borderId="16" xfId="89" applyFont="1" applyFill="1" applyBorder="1" applyAlignment="1" applyProtection="1">
      <alignment horizontal="right" vertical="center" wrapText="1"/>
      <protection hidden="1"/>
    </xf>
    <xf numFmtId="0" fontId="73" fillId="17" borderId="15" xfId="89" applyFont="1" applyFill="1" applyBorder="1" applyAlignment="1" applyProtection="1">
      <alignment horizontal="right" vertical="center" wrapText="1"/>
      <protection hidden="1"/>
    </xf>
    <xf numFmtId="0" fontId="3" fillId="25" borderId="19" xfId="95" applyFont="1" applyFill="1" applyBorder="1" applyAlignment="1" applyProtection="1">
      <alignment horizontal="center" vertical="center"/>
      <protection hidden="1"/>
    </xf>
    <xf numFmtId="0" fontId="3" fillId="22" borderId="19" xfId="95" applyFont="1" applyFill="1" applyBorder="1" applyAlignment="1" applyProtection="1">
      <alignment horizontal="center" vertical="center"/>
      <protection locked="0"/>
    </xf>
    <xf numFmtId="0" fontId="3" fillId="25" borderId="19" xfId="111" applyFont="1" applyFill="1" applyBorder="1" applyAlignment="1" applyProtection="1">
      <alignment horizontal="center"/>
      <protection hidden="1"/>
    </xf>
    <xf numFmtId="1" fontId="39" fillId="25" borderId="0" xfId="111" applyNumberFormat="1" applyFont="1" applyFill="1" applyAlignment="1" applyProtection="1">
      <alignment horizontal="center"/>
      <protection hidden="1"/>
    </xf>
    <xf numFmtId="0" fontId="11" fillId="25" borderId="0" xfId="92" applyFont="1" applyFill="1">
      <alignment/>
      <protection/>
    </xf>
    <xf numFmtId="0" fontId="43" fillId="22" borderId="11" xfId="117" applyFont="1" applyFill="1" applyBorder="1" applyAlignment="1" applyProtection="1">
      <alignment horizontal="right"/>
      <protection locked="0"/>
    </xf>
    <xf numFmtId="173" fontId="43" fillId="22" borderId="26" xfId="117" applyNumberFormat="1" applyFont="1" applyFill="1" applyBorder="1" applyProtection="1">
      <alignment/>
      <protection locked="0"/>
    </xf>
    <xf numFmtId="173" fontId="43" fillId="0" borderId="11" xfId="117" applyNumberFormat="1" applyFont="1" applyBorder="1" applyProtection="1">
      <alignment/>
      <protection hidden="1"/>
    </xf>
    <xf numFmtId="2" fontId="43" fillId="0" borderId="11" xfId="117" applyNumberFormat="1" applyFont="1" applyBorder="1" applyProtection="1">
      <alignment/>
      <protection hidden="1"/>
    </xf>
    <xf numFmtId="0" fontId="3" fillId="22" borderId="17" xfId="92" applyFont="1" applyFill="1" applyBorder="1" applyAlignment="1" applyProtection="1">
      <alignment horizontal="right"/>
      <protection locked="0"/>
    </xf>
    <xf numFmtId="0" fontId="43" fillId="25" borderId="17" xfId="117" applyFont="1" applyFill="1" applyBorder="1" applyAlignment="1" applyProtection="1">
      <alignment horizontal="right"/>
      <protection hidden="1"/>
    </xf>
    <xf numFmtId="0" fontId="0" fillId="0" borderId="0" xfId="117" applyBorder="1">
      <alignment/>
      <protection/>
    </xf>
    <xf numFmtId="0" fontId="43" fillId="22" borderId="17" xfId="117" applyFont="1" applyFill="1" applyBorder="1" applyProtection="1">
      <alignment/>
      <protection locked="0"/>
    </xf>
    <xf numFmtId="172" fontId="3" fillId="25" borderId="17" xfId="117" applyNumberFormat="1" applyFont="1" applyFill="1" applyBorder="1" applyAlignment="1" applyProtection="1">
      <alignment horizontal="right"/>
      <protection hidden="1"/>
    </xf>
    <xf numFmtId="172" fontId="3" fillId="25" borderId="0" xfId="117" applyNumberFormat="1" applyFont="1" applyFill="1" applyBorder="1" applyAlignment="1" applyProtection="1">
      <alignment horizontal="right"/>
      <protection hidden="1"/>
    </xf>
    <xf numFmtId="172" fontId="43" fillId="25" borderId="17" xfId="117" applyNumberFormat="1" applyFont="1" applyFill="1" applyBorder="1" applyProtection="1">
      <alignment/>
      <protection hidden="1"/>
    </xf>
    <xf numFmtId="172" fontId="3" fillId="0" borderId="12" xfId="92" applyNumberFormat="1" applyFont="1" applyFill="1" applyBorder="1" applyAlignment="1" applyProtection="1">
      <alignment horizontal="right"/>
      <protection hidden="1"/>
    </xf>
    <xf numFmtId="172" fontId="3" fillId="25" borderId="12" xfId="117" applyNumberFormat="1" applyFont="1" applyFill="1" applyBorder="1" applyAlignment="1" applyProtection="1">
      <alignment horizontal="right"/>
      <protection hidden="1"/>
    </xf>
    <xf numFmtId="2" fontId="43" fillId="25" borderId="13" xfId="117" applyNumberFormat="1" applyFont="1" applyFill="1" applyBorder="1" applyProtection="1">
      <alignment/>
      <protection hidden="1"/>
    </xf>
    <xf numFmtId="2" fontId="43" fillId="25" borderId="12" xfId="117" applyNumberFormat="1" applyFont="1" applyFill="1" applyBorder="1" applyProtection="1">
      <alignment/>
      <protection hidden="1"/>
    </xf>
    <xf numFmtId="0" fontId="3" fillId="25" borderId="0" xfId="117" applyNumberFormat="1" applyFont="1" applyFill="1" applyBorder="1" applyAlignment="1" applyProtection="1">
      <alignment vertical="center" wrapText="1"/>
      <protection hidden="1"/>
    </xf>
    <xf numFmtId="0" fontId="43" fillId="25" borderId="16" xfId="0" applyFont="1" applyFill="1" applyBorder="1" applyAlignment="1" applyProtection="1">
      <alignment horizontal="left"/>
      <protection hidden="1"/>
    </xf>
    <xf numFmtId="0" fontId="43" fillId="22" borderId="11" xfId="0" applyFont="1" applyFill="1" applyBorder="1" applyAlignment="1" applyProtection="1">
      <alignment horizontal="right"/>
      <protection locked="0"/>
    </xf>
    <xf numFmtId="0" fontId="43" fillId="25" borderId="0" xfId="0" applyFont="1" applyFill="1" applyBorder="1" applyAlignment="1" applyProtection="1">
      <alignment horizontal="left"/>
      <protection hidden="1"/>
    </xf>
    <xf numFmtId="0" fontId="43" fillId="25" borderId="17" xfId="0" applyFont="1" applyFill="1" applyBorder="1" applyAlignment="1" applyProtection="1">
      <alignment horizontal="right"/>
      <protection hidden="1"/>
    </xf>
    <xf numFmtId="0" fontId="43" fillId="22" borderId="0" xfId="0" applyFont="1" applyFill="1" applyBorder="1" applyAlignment="1" applyProtection="1">
      <alignment horizontal="right"/>
      <protection locked="0"/>
    </xf>
    <xf numFmtId="2" fontId="3" fillId="22" borderId="17" xfId="0" applyNumberFormat="1" applyFont="1" applyFill="1" applyBorder="1" applyAlignment="1" applyProtection="1">
      <alignment/>
      <protection locked="0"/>
    </xf>
    <xf numFmtId="2" fontId="43" fillId="25" borderId="11" xfId="0" applyNumberFormat="1" applyFont="1" applyFill="1" applyBorder="1" applyAlignment="1" applyProtection="1">
      <alignment/>
      <protection hidden="1"/>
    </xf>
    <xf numFmtId="0" fontId="3" fillId="25" borderId="16" xfId="89" applyFont="1" applyFill="1" applyBorder="1" applyAlignment="1" applyProtection="1">
      <alignment horizontal="left"/>
      <protection hidden="1"/>
    </xf>
    <xf numFmtId="0" fontId="3" fillId="22" borderId="17" xfId="89" applyFont="1" applyFill="1" applyBorder="1" applyAlignment="1" applyProtection="1">
      <alignment horizontal="right"/>
      <protection locked="0"/>
    </xf>
    <xf numFmtId="0" fontId="43" fillId="25" borderId="0" xfId="0" applyFont="1" applyFill="1" applyBorder="1" applyAlignment="1" applyProtection="1">
      <alignment horizontal="center"/>
      <protection hidden="1"/>
    </xf>
    <xf numFmtId="0" fontId="43" fillId="25" borderId="0" xfId="0" applyFont="1" applyFill="1" applyBorder="1" applyAlignment="1" applyProtection="1">
      <alignment horizontal="right"/>
      <protection hidden="1"/>
    </xf>
    <xf numFmtId="172" fontId="43" fillId="25" borderId="17" xfId="0" applyNumberFormat="1" applyFont="1" applyFill="1" applyBorder="1" applyAlignment="1" applyProtection="1">
      <alignment/>
      <protection hidden="1"/>
    </xf>
    <xf numFmtId="172" fontId="43" fillId="25" borderId="17" xfId="0" applyNumberFormat="1" applyFont="1" applyFill="1" applyBorder="1" applyAlignment="1" applyProtection="1">
      <alignment horizontal="right"/>
      <protection hidden="1"/>
    </xf>
    <xf numFmtId="0" fontId="43" fillId="22" borderId="17" xfId="116" applyFont="1" applyFill="1" applyBorder="1" applyProtection="1">
      <alignment/>
      <protection locked="0"/>
    </xf>
    <xf numFmtId="0" fontId="3" fillId="25" borderId="15" xfId="89" applyFont="1" applyFill="1" applyBorder="1" applyAlignment="1" applyProtection="1">
      <alignment horizontal="left"/>
      <protection hidden="1"/>
    </xf>
    <xf numFmtId="172" fontId="3" fillId="25" borderId="12" xfId="89" applyNumberFormat="1" applyFont="1" applyFill="1" applyBorder="1" applyAlignment="1" applyProtection="1">
      <alignment horizontal="right"/>
      <protection hidden="1"/>
    </xf>
    <xf numFmtId="172" fontId="3" fillId="25" borderId="12" xfId="0" applyNumberFormat="1" applyFont="1" applyFill="1" applyBorder="1" applyAlignment="1" applyProtection="1">
      <alignment horizontal="right"/>
      <protection hidden="1"/>
    </xf>
    <xf numFmtId="172" fontId="3" fillId="25" borderId="13" xfId="0" applyNumberFormat="1" applyFont="1" applyFill="1" applyBorder="1" applyAlignment="1" applyProtection="1">
      <alignment horizontal="right"/>
      <protection hidden="1"/>
    </xf>
    <xf numFmtId="172" fontId="3" fillId="22" borderId="12" xfId="0" applyNumberFormat="1" applyFont="1" applyFill="1" applyBorder="1" applyAlignment="1" applyProtection="1">
      <alignment horizontal="right"/>
      <protection locked="0"/>
    </xf>
    <xf numFmtId="2" fontId="43" fillId="25" borderId="12" xfId="0" applyNumberFormat="1" applyFont="1" applyFill="1" applyBorder="1" applyAlignment="1" applyProtection="1">
      <alignment/>
      <protection hidden="1"/>
    </xf>
    <xf numFmtId="0" fontId="3" fillId="25" borderId="14" xfId="89" applyFont="1" applyFill="1" applyBorder="1" applyAlignment="1" applyProtection="1">
      <alignment/>
      <protection hidden="1"/>
    </xf>
    <xf numFmtId="0" fontId="3" fillId="22" borderId="0" xfId="89" applyFont="1" applyFill="1" applyBorder="1" applyAlignment="1" applyProtection="1">
      <alignment horizontal="center"/>
      <protection locked="0"/>
    </xf>
    <xf numFmtId="2" fontId="3" fillId="25" borderId="0" xfId="89" applyNumberFormat="1" applyFont="1" applyFill="1" applyBorder="1" applyAlignment="1" applyProtection="1">
      <alignment horizontal="center"/>
      <protection hidden="1"/>
    </xf>
    <xf numFmtId="2" fontId="3" fillId="0" borderId="12" xfId="89" applyNumberFormat="1" applyFont="1" applyFill="1" applyBorder="1" applyAlignment="1" applyProtection="1">
      <alignment horizontal="center" vertical="center"/>
      <protection hidden="1"/>
    </xf>
    <xf numFmtId="2" fontId="3" fillId="0" borderId="19" xfId="89" applyNumberFormat="1" applyFont="1" applyFill="1" applyBorder="1" applyAlignment="1" applyProtection="1">
      <alignment horizontal="center"/>
      <protection hidden="1"/>
    </xf>
    <xf numFmtId="173" fontId="3" fillId="0" borderId="19" xfId="89" applyNumberFormat="1" applyFont="1" applyBorder="1" applyAlignment="1">
      <alignment horizontal="center"/>
      <protection/>
    </xf>
    <xf numFmtId="0" fontId="3" fillId="25" borderId="10" xfId="0" applyFont="1" applyFill="1" applyBorder="1" applyAlignment="1" applyProtection="1">
      <alignment/>
      <protection hidden="1"/>
    </xf>
    <xf numFmtId="0" fontId="3" fillId="22" borderId="11" xfId="0" applyFont="1" applyFill="1" applyBorder="1" applyAlignment="1" applyProtection="1">
      <alignment/>
      <protection locked="0"/>
    </xf>
    <xf numFmtId="0" fontId="3" fillId="25" borderId="11" xfId="89" applyFont="1" applyFill="1" applyBorder="1" applyProtection="1">
      <alignment/>
      <protection hidden="1"/>
    </xf>
    <xf numFmtId="1" fontId="9" fillId="0" borderId="18" xfId="76" applyNumberFormat="1" applyFont="1" applyFill="1" applyBorder="1" applyProtection="1">
      <alignment/>
      <protection locked="0"/>
    </xf>
    <xf numFmtId="2" fontId="3" fillId="0" borderId="19" xfId="89" applyNumberFormat="1" applyFont="1" applyFill="1" applyBorder="1" applyAlignment="1" applyProtection="1">
      <alignment horizontal="center"/>
      <protection/>
    </xf>
    <xf numFmtId="0" fontId="129" fillId="25" borderId="0" xfId="93" applyFont="1" applyFill="1" applyAlignment="1" applyProtection="1">
      <alignment/>
      <protection hidden="1"/>
    </xf>
    <xf numFmtId="172" fontId="3" fillId="25" borderId="17" xfId="0" applyNumberFormat="1" applyFont="1" applyFill="1" applyBorder="1" applyAlignment="1" applyProtection="1">
      <alignment/>
      <protection hidden="1"/>
    </xf>
    <xf numFmtId="172" fontId="3" fillId="25" borderId="18" xfId="0" applyNumberFormat="1" applyFont="1" applyFill="1" applyBorder="1" applyAlignment="1" applyProtection="1">
      <alignment/>
      <protection hidden="1"/>
    </xf>
    <xf numFmtId="172" fontId="3" fillId="25" borderId="12" xfId="0" applyNumberFormat="1" applyFont="1" applyFill="1" applyBorder="1" applyAlignment="1" applyProtection="1">
      <alignment/>
      <protection hidden="1"/>
    </xf>
    <xf numFmtId="172" fontId="3" fillId="25" borderId="14" xfId="0" applyNumberFormat="1" applyFont="1" applyFill="1" applyBorder="1" applyAlignment="1" applyProtection="1">
      <alignment/>
      <protection hidden="1"/>
    </xf>
    <xf numFmtId="172" fontId="3" fillId="25" borderId="17" xfId="0" applyNumberFormat="1" applyFont="1" applyFill="1" applyBorder="1" applyAlignment="1">
      <alignment/>
    </xf>
    <xf numFmtId="0" fontId="143" fillId="22" borderId="0" xfId="89" applyNumberFormat="1" applyFont="1" applyFill="1" applyProtection="1">
      <alignment/>
      <protection locked="0"/>
    </xf>
    <xf numFmtId="0" fontId="16" fillId="25" borderId="0" xfId="89" applyFont="1" applyFill="1" applyAlignment="1" applyProtection="1">
      <alignment horizontal="center"/>
      <protection hidden="1"/>
    </xf>
    <xf numFmtId="172" fontId="16" fillId="25" borderId="0" xfId="89" applyNumberFormat="1" applyFont="1" applyFill="1" applyProtection="1">
      <alignment/>
      <protection hidden="1"/>
    </xf>
    <xf numFmtId="2" fontId="16" fillId="25" borderId="0" xfId="89" applyNumberFormat="1" applyFont="1" applyFill="1" applyAlignment="1" applyProtection="1">
      <alignment horizontal="right"/>
      <protection hidden="1"/>
    </xf>
    <xf numFmtId="172" fontId="16" fillId="25" borderId="0" xfId="89" applyNumberFormat="1" applyFont="1" applyFill="1" applyAlignment="1" applyProtection="1">
      <alignment horizontal="right"/>
      <protection hidden="1"/>
    </xf>
    <xf numFmtId="172" fontId="16" fillId="22" borderId="0" xfId="89" applyNumberFormat="1" applyFont="1" applyFill="1" applyProtection="1">
      <alignment/>
      <protection locked="0"/>
    </xf>
    <xf numFmtId="0" fontId="0" fillId="0" borderId="0" xfId="89" applyFill="1" applyProtection="1">
      <alignment/>
      <protection hidden="1"/>
    </xf>
    <xf numFmtId="173" fontId="0" fillId="0" borderId="0" xfId="89" applyNumberFormat="1" applyFill="1" applyProtection="1">
      <alignment/>
      <protection hidden="1"/>
    </xf>
    <xf numFmtId="0" fontId="3" fillId="0" borderId="0" xfId="89" applyFont="1" applyFill="1" applyProtection="1">
      <alignment/>
      <protection hidden="1"/>
    </xf>
    <xf numFmtId="0" fontId="62" fillId="0" borderId="0" xfId="0" applyFont="1" applyFill="1" applyAlignment="1" applyProtection="1">
      <alignment vertical="center" wrapText="1"/>
      <protection hidden="1"/>
    </xf>
    <xf numFmtId="0" fontId="0" fillId="0" borderId="0" xfId="89" applyFont="1" applyFill="1" applyProtection="1">
      <alignment/>
      <protection hidden="1"/>
    </xf>
    <xf numFmtId="0" fontId="0" fillId="0" borderId="0" xfId="0" applyFill="1" applyAlignment="1" applyProtection="1">
      <alignment/>
      <protection hidden="1"/>
    </xf>
    <xf numFmtId="0" fontId="48" fillId="0" borderId="0" xfId="65" applyFont="1" applyFill="1" applyAlignment="1" applyProtection="1">
      <alignment/>
      <protection/>
    </xf>
    <xf numFmtId="0" fontId="0" fillId="0" borderId="0" xfId="0" applyFill="1" applyAlignment="1">
      <alignment/>
    </xf>
    <xf numFmtId="0" fontId="3" fillId="25" borderId="0" xfId="111" applyFont="1" applyFill="1">
      <alignment/>
      <protection/>
    </xf>
    <xf numFmtId="0" fontId="17" fillId="25" borderId="18" xfId="89" applyFont="1" applyFill="1" applyBorder="1" applyAlignment="1">
      <alignment horizontal="center"/>
      <protection/>
    </xf>
    <xf numFmtId="1" fontId="133" fillId="0" borderId="18" xfId="76" applyNumberFormat="1" applyFont="1" applyFill="1" applyBorder="1" applyProtection="1">
      <alignment/>
      <protection hidden="1"/>
    </xf>
    <xf numFmtId="0" fontId="3" fillId="22" borderId="19" xfId="0" applyFont="1" applyFill="1" applyBorder="1" applyAlignment="1" applyProtection="1">
      <alignment horizontal="center"/>
      <protection locked="0"/>
    </xf>
    <xf numFmtId="0" fontId="30" fillId="25" borderId="0" xfId="89" applyFont="1" applyFill="1" applyBorder="1" applyAlignment="1" applyProtection="1">
      <alignment horizontal="center"/>
      <protection hidden="1"/>
    </xf>
    <xf numFmtId="173" fontId="3" fillId="0" borderId="19" xfId="113" applyNumberFormat="1" applyBorder="1" applyProtection="1">
      <alignment/>
      <protection hidden="1"/>
    </xf>
    <xf numFmtId="2" fontId="3" fillId="25" borderId="0" xfId="91" applyNumberFormat="1" applyFont="1" applyFill="1" applyAlignment="1" applyProtection="1">
      <alignment horizontal="left"/>
      <protection hidden="1"/>
    </xf>
    <xf numFmtId="172" fontId="3" fillId="29" borderId="19" xfId="91" applyNumberFormat="1" applyFont="1" applyFill="1" applyBorder="1" applyAlignment="1" applyProtection="1">
      <alignment horizontal="center"/>
      <protection locked="0"/>
    </xf>
    <xf numFmtId="172" fontId="174" fillId="29" borderId="0" xfId="89" applyNumberFormat="1" applyFont="1" applyFill="1" applyProtection="1">
      <alignment/>
      <protection locked="0"/>
    </xf>
    <xf numFmtId="0" fontId="6" fillId="29" borderId="0" xfId="99" applyFont="1" applyFill="1" applyBorder="1" applyAlignment="1" applyProtection="1">
      <alignment vertical="center"/>
      <protection locked="0"/>
    </xf>
    <xf numFmtId="0" fontId="151" fillId="29" borderId="0" xfId="113" applyFont="1" applyFill="1" applyBorder="1" applyAlignment="1" applyProtection="1">
      <alignment horizontal="right"/>
      <protection locked="0"/>
    </xf>
    <xf numFmtId="173" fontId="3" fillId="29" borderId="0" xfId="91" applyNumberFormat="1" applyFont="1" applyFill="1" applyAlignment="1" applyProtection="1">
      <alignment horizontal="left" wrapText="1"/>
      <protection locked="0"/>
    </xf>
    <xf numFmtId="2" fontId="134" fillId="25" borderId="0" xfId="99" applyNumberFormat="1" applyFont="1" applyFill="1" applyBorder="1" applyAlignment="1" applyProtection="1">
      <alignment horizontal="center"/>
      <protection/>
    </xf>
    <xf numFmtId="1" fontId="3" fillId="22" borderId="0" xfId="89" applyNumberFormat="1" applyFont="1" applyFill="1" applyBorder="1" applyProtection="1">
      <alignment/>
      <protection locked="0"/>
    </xf>
    <xf numFmtId="0" fontId="0" fillId="25" borderId="16" xfId="89" applyFill="1" applyBorder="1" applyProtection="1">
      <alignment/>
      <protection/>
    </xf>
    <xf numFmtId="0" fontId="0" fillId="25" borderId="0" xfId="84" applyFont="1" applyFill="1" applyProtection="1">
      <alignment/>
      <protection locked="0"/>
    </xf>
    <xf numFmtId="0" fontId="0" fillId="25" borderId="0" xfId="84" applyFont="1" applyFill="1" applyBorder="1" applyProtection="1">
      <alignment/>
      <protection hidden="1"/>
    </xf>
    <xf numFmtId="0" fontId="148" fillId="25" borderId="0" xfId="113" applyFont="1" applyFill="1" applyAlignment="1" applyProtection="1">
      <alignment/>
      <protection hidden="1"/>
    </xf>
    <xf numFmtId="0" fontId="3" fillId="0" borderId="0" xfId="111" applyFont="1" applyFill="1" applyBorder="1" applyProtection="1">
      <alignment/>
      <protection locked="0"/>
    </xf>
    <xf numFmtId="0" fontId="0" fillId="25" borderId="0" xfId="0" applyFill="1" applyAlignment="1" applyProtection="1">
      <alignment/>
      <protection locked="0"/>
    </xf>
    <xf numFmtId="0" fontId="3" fillId="25" borderId="0" xfId="89" applyFont="1" applyFill="1" applyBorder="1" applyAlignment="1" applyProtection="1">
      <alignment/>
      <protection locked="0"/>
    </xf>
    <xf numFmtId="49" fontId="3" fillId="25" borderId="0" xfId="0" applyNumberFormat="1" applyFont="1" applyFill="1" applyAlignment="1" applyProtection="1">
      <alignment/>
      <protection locked="0"/>
    </xf>
    <xf numFmtId="49" fontId="3" fillId="25" borderId="0" xfId="89" applyNumberFormat="1" applyFont="1" applyFill="1" applyProtection="1">
      <alignment/>
      <protection locked="0"/>
    </xf>
    <xf numFmtId="49" fontId="3" fillId="25" borderId="0" xfId="89" applyNumberFormat="1" applyFont="1" applyFill="1" applyBorder="1" applyProtection="1">
      <alignment/>
      <protection locked="0"/>
    </xf>
    <xf numFmtId="49" fontId="3" fillId="25" borderId="0" xfId="0" applyNumberFormat="1" applyFont="1" applyFill="1" applyAlignment="1" applyProtection="1">
      <alignment horizontal="left"/>
      <protection locked="0"/>
    </xf>
    <xf numFmtId="0" fontId="3" fillId="25" borderId="0" xfId="89" applyFont="1" applyFill="1" applyProtection="1">
      <alignment/>
      <protection locked="0"/>
    </xf>
    <xf numFmtId="0" fontId="2" fillId="25" borderId="0" xfId="65" applyFill="1" applyAlignment="1" applyProtection="1">
      <alignment horizontal="left"/>
      <protection hidden="1"/>
    </xf>
    <xf numFmtId="1" fontId="6" fillId="7" borderId="0" xfId="96" applyNumberFormat="1" applyFont="1" applyFill="1" applyBorder="1" applyAlignment="1" applyProtection="1">
      <alignment/>
      <protection hidden="1"/>
    </xf>
    <xf numFmtId="0" fontId="6" fillId="7" borderId="0" xfId="96" applyFont="1" applyFill="1" applyBorder="1" applyAlignment="1" applyProtection="1">
      <alignment/>
      <protection hidden="1"/>
    </xf>
    <xf numFmtId="0" fontId="3" fillId="22" borderId="0" xfId="111" applyFont="1" applyFill="1" applyBorder="1" applyAlignment="1" applyProtection="1">
      <alignment horizontal="right"/>
      <protection locked="0"/>
    </xf>
    <xf numFmtId="0" fontId="3" fillId="25" borderId="0" xfId="84" applyFont="1" applyFill="1" applyProtection="1">
      <alignment/>
      <protection/>
    </xf>
    <xf numFmtId="0" fontId="8" fillId="25" borderId="0" xfId="84" applyFont="1" applyFill="1" applyBorder="1" applyAlignment="1" applyProtection="1">
      <alignment horizontal="center"/>
      <protection/>
    </xf>
    <xf numFmtId="0" fontId="38" fillId="25" borderId="0" xfId="84" applyFont="1" applyFill="1" applyBorder="1" applyAlignment="1" applyProtection="1">
      <alignment horizontal="center"/>
      <protection/>
    </xf>
    <xf numFmtId="0" fontId="38" fillId="25" borderId="0" xfId="84" applyFont="1" applyFill="1" applyProtection="1">
      <alignment/>
      <protection/>
    </xf>
    <xf numFmtId="173" fontId="3" fillId="0" borderId="19" xfId="89" applyNumberFormat="1" applyFont="1" applyBorder="1" applyAlignment="1" applyProtection="1">
      <alignment horizontal="center"/>
      <protection hidden="1"/>
    </xf>
    <xf numFmtId="0" fontId="3" fillId="0" borderId="19" xfId="0" applyFont="1" applyBorder="1" applyAlignment="1" applyProtection="1">
      <alignment/>
      <protection locked="0"/>
    </xf>
    <xf numFmtId="0" fontId="3" fillId="25" borderId="0" xfId="89" applyFont="1" applyFill="1" applyBorder="1" applyAlignment="1" applyProtection="1">
      <alignment/>
      <protection/>
    </xf>
    <xf numFmtId="0" fontId="3" fillId="0" borderId="26" xfId="89" applyFont="1" applyBorder="1" applyProtection="1">
      <alignment/>
      <protection hidden="1"/>
    </xf>
    <xf numFmtId="1" fontId="6" fillId="4" borderId="18" xfId="76" applyNumberFormat="1" applyFont="1" applyFill="1" applyBorder="1" applyProtection="1">
      <alignment/>
      <protection hidden="1" locked="0"/>
    </xf>
    <xf numFmtId="1" fontId="6" fillId="29" borderId="0" xfId="99" applyNumberFormat="1" applyFont="1" applyFill="1" applyBorder="1" applyAlignment="1" applyProtection="1">
      <alignment horizontal="left"/>
      <protection locked="0"/>
    </xf>
    <xf numFmtId="0" fontId="3" fillId="25" borderId="19" xfId="84" applyFont="1" applyFill="1" applyBorder="1" applyAlignment="1" applyProtection="1">
      <alignment horizontal="center"/>
      <protection hidden="1"/>
    </xf>
    <xf numFmtId="0" fontId="0" fillId="25" borderId="0" xfId="84" applyFont="1" applyFill="1" applyBorder="1" applyAlignment="1" applyProtection="1">
      <alignment/>
      <protection hidden="1"/>
    </xf>
    <xf numFmtId="173" fontId="3" fillId="25" borderId="19" xfId="89" applyNumberFormat="1" applyFont="1" applyFill="1" applyBorder="1" applyAlignment="1" applyProtection="1">
      <alignment horizontal="center"/>
      <protection hidden="1"/>
    </xf>
    <xf numFmtId="173" fontId="3" fillId="22" borderId="19" xfId="89" applyNumberFormat="1" applyFont="1" applyFill="1" applyBorder="1" applyAlignment="1" applyProtection="1">
      <alignment horizontal="center"/>
      <protection locked="0"/>
    </xf>
    <xf numFmtId="173" fontId="3" fillId="0" borderId="19" xfId="89" applyNumberFormat="1" applyFont="1" applyFill="1" applyBorder="1" applyAlignment="1" applyProtection="1">
      <alignment horizontal="center"/>
      <protection hidden="1"/>
    </xf>
    <xf numFmtId="0" fontId="0" fillId="25" borderId="25" xfId="89" applyFill="1" applyBorder="1" applyProtection="1">
      <alignment/>
      <protection hidden="1"/>
    </xf>
    <xf numFmtId="0" fontId="0" fillId="25" borderId="18" xfId="89" applyFill="1" applyBorder="1" applyProtection="1">
      <alignment/>
      <protection hidden="1"/>
    </xf>
    <xf numFmtId="178" fontId="0" fillId="25" borderId="0" xfId="0" applyNumberFormat="1" applyFill="1" applyBorder="1" applyAlignment="1" applyProtection="1">
      <alignment/>
      <protection hidden="1"/>
    </xf>
    <xf numFmtId="0" fontId="0" fillId="25" borderId="16" xfId="0" applyFill="1" applyBorder="1" applyAlignment="1" applyProtection="1">
      <alignment/>
      <protection hidden="1"/>
    </xf>
    <xf numFmtId="0" fontId="3" fillId="25" borderId="15" xfId="111" applyFill="1" applyBorder="1" applyProtection="1">
      <alignment/>
      <protection hidden="1"/>
    </xf>
    <xf numFmtId="173" fontId="0" fillId="25" borderId="13" xfId="0" applyNumberFormat="1" applyFill="1" applyBorder="1" applyAlignment="1" applyProtection="1">
      <alignment/>
      <protection hidden="1"/>
    </xf>
    <xf numFmtId="178" fontId="0" fillId="25" borderId="13" xfId="0" applyNumberFormat="1" applyFill="1" applyBorder="1" applyAlignment="1" applyProtection="1">
      <alignment/>
      <protection hidden="1"/>
    </xf>
    <xf numFmtId="0" fontId="0" fillId="25" borderId="14" xfId="89" applyFill="1" applyBorder="1" applyProtection="1">
      <alignment/>
      <protection hidden="1"/>
    </xf>
    <xf numFmtId="0" fontId="3" fillId="25" borderId="0" xfId="84" applyFont="1" applyFill="1" applyAlignment="1" applyProtection="1">
      <alignment/>
      <protection hidden="1"/>
    </xf>
    <xf numFmtId="0" fontId="9" fillId="22" borderId="17" xfId="0" applyFont="1" applyFill="1" applyBorder="1" applyAlignment="1" applyProtection="1">
      <alignment/>
      <protection locked="0"/>
    </xf>
    <xf numFmtId="0" fontId="9" fillId="22" borderId="18" xfId="0" applyFont="1" applyFill="1" applyBorder="1" applyAlignment="1" applyProtection="1">
      <alignment/>
      <protection locked="0"/>
    </xf>
    <xf numFmtId="0" fontId="9" fillId="25" borderId="19" xfId="0" applyFont="1" applyFill="1" applyBorder="1" applyAlignment="1" applyProtection="1">
      <alignment horizontal="right"/>
      <protection locked="0"/>
    </xf>
    <xf numFmtId="0" fontId="3" fillId="25" borderId="0" xfId="84" applyFont="1" applyFill="1" applyProtection="1">
      <alignment/>
      <protection hidden="1"/>
    </xf>
    <xf numFmtId="1" fontId="12" fillId="25" borderId="0" xfId="84" applyNumberFormat="1" applyFont="1" applyFill="1" applyBorder="1" applyProtection="1">
      <alignment/>
      <protection hidden="1"/>
    </xf>
    <xf numFmtId="0" fontId="0" fillId="0" borderId="0" xfId="84" applyFill="1" applyProtection="1">
      <alignment/>
      <protection hidden="1"/>
    </xf>
    <xf numFmtId="0" fontId="0" fillId="0" borderId="0" xfId="84" applyFont="1" applyFill="1" applyProtection="1">
      <alignment/>
      <protection hidden="1"/>
    </xf>
    <xf numFmtId="0" fontId="0" fillId="0" borderId="0" xfId="84" applyFont="1" applyProtection="1">
      <alignment/>
      <protection hidden="1"/>
    </xf>
    <xf numFmtId="0" fontId="8" fillId="0" borderId="0" xfId="84" applyFont="1" applyFill="1" applyProtection="1">
      <alignment/>
      <protection hidden="1"/>
    </xf>
    <xf numFmtId="0" fontId="12" fillId="25" borderId="0" xfId="84" applyFont="1" applyFill="1" applyBorder="1" applyAlignment="1" applyProtection="1">
      <alignment horizontal="left"/>
      <protection hidden="1"/>
    </xf>
    <xf numFmtId="49" fontId="30" fillId="26" borderId="0" xfId="84" applyNumberFormat="1" applyFont="1" applyFill="1" applyAlignment="1" applyProtection="1">
      <alignment vertical="center"/>
      <protection hidden="1"/>
    </xf>
    <xf numFmtId="0" fontId="30" fillId="26" borderId="0" xfId="84" applyFont="1" applyFill="1" applyAlignment="1" applyProtection="1">
      <alignment vertical="center"/>
      <protection hidden="1"/>
    </xf>
    <xf numFmtId="0" fontId="0" fillId="25" borderId="0" xfId="84" applyFont="1" applyFill="1" applyProtection="1">
      <alignment/>
      <protection hidden="1"/>
    </xf>
    <xf numFmtId="49" fontId="4" fillId="25" borderId="0" xfId="84" applyNumberFormat="1" applyFont="1" applyFill="1" applyAlignment="1" applyProtection="1">
      <alignment horizontal="right"/>
      <protection hidden="1"/>
    </xf>
    <xf numFmtId="49" fontId="30" fillId="25" borderId="0" xfId="84" applyNumberFormat="1" applyFont="1" applyFill="1" applyAlignment="1" applyProtection="1">
      <alignment vertical="center"/>
      <protection hidden="1"/>
    </xf>
    <xf numFmtId="0" fontId="30" fillId="25" borderId="0" xfId="84" applyFont="1" applyFill="1" applyAlignment="1" applyProtection="1">
      <alignment vertical="center"/>
      <protection hidden="1"/>
    </xf>
    <xf numFmtId="0" fontId="0" fillId="25" borderId="0" xfId="0" applyFill="1" applyAlignment="1">
      <alignment wrapText="1"/>
    </xf>
    <xf numFmtId="0" fontId="43" fillId="22" borderId="0" xfId="87" applyFont="1" applyFill="1" applyAlignment="1" applyProtection="1">
      <alignment/>
      <protection locked="0"/>
    </xf>
    <xf numFmtId="172" fontId="3" fillId="0" borderId="18" xfId="0" applyNumberFormat="1" applyFont="1" applyBorder="1" applyAlignment="1">
      <alignment/>
    </xf>
    <xf numFmtId="172" fontId="3" fillId="0" borderId="17" xfId="0" applyNumberFormat="1" applyFont="1" applyBorder="1" applyAlignment="1">
      <alignment/>
    </xf>
    <xf numFmtId="0" fontId="43" fillId="25" borderId="0" xfId="87" applyFill="1">
      <alignment/>
      <protection/>
    </xf>
    <xf numFmtId="0" fontId="12" fillId="25" borderId="0" xfId="80" applyFont="1" applyFill="1" applyAlignment="1" applyProtection="1">
      <alignment horizontal="left"/>
      <protection hidden="1"/>
    </xf>
    <xf numFmtId="0" fontId="43" fillId="0" borderId="0" xfId="87" applyFont="1" applyFill="1">
      <alignment/>
      <protection/>
    </xf>
    <xf numFmtId="0" fontId="43" fillId="0" borderId="0" xfId="87" applyFill="1">
      <alignment/>
      <protection/>
    </xf>
    <xf numFmtId="0" fontId="12" fillId="0" borderId="0" xfId="80" applyFont="1" applyFill="1" applyAlignment="1" applyProtection="1">
      <alignment horizontal="left"/>
      <protection hidden="1"/>
    </xf>
    <xf numFmtId="0" fontId="43" fillId="0" borderId="0" xfId="87" applyFont="1" applyFill="1" applyAlignment="1">
      <alignment horizontal="left"/>
      <protection/>
    </xf>
    <xf numFmtId="0" fontId="43" fillId="0" borderId="0" xfId="87" applyFont="1" applyFill="1" applyAlignment="1">
      <alignment/>
      <protection/>
    </xf>
    <xf numFmtId="0" fontId="3" fillId="25" borderId="10" xfId="111" applyFill="1" applyBorder="1" applyProtection="1">
      <alignment/>
      <protection hidden="1"/>
    </xf>
    <xf numFmtId="172" fontId="39" fillId="25" borderId="20" xfId="89" applyNumberFormat="1" applyFont="1" applyFill="1" applyBorder="1" applyAlignment="1" applyProtection="1">
      <alignment horizontal="right"/>
      <protection hidden="1"/>
    </xf>
    <xf numFmtId="172" fontId="39" fillId="25" borderId="21" xfId="89" applyNumberFormat="1" applyFont="1" applyFill="1" applyBorder="1" applyAlignment="1" applyProtection="1">
      <alignment horizontal="left"/>
      <protection hidden="1"/>
    </xf>
    <xf numFmtId="172" fontId="54" fillId="25" borderId="20" xfId="89" applyNumberFormat="1" applyFont="1" applyFill="1" applyBorder="1" applyAlignment="1" applyProtection="1">
      <alignment horizontal="right"/>
      <protection hidden="1"/>
    </xf>
    <xf numFmtId="172" fontId="54" fillId="25" borderId="21" xfId="89" applyNumberFormat="1" applyFont="1" applyFill="1" applyBorder="1" applyAlignment="1" applyProtection="1">
      <alignment horizontal="left"/>
      <protection hidden="1"/>
    </xf>
    <xf numFmtId="173" fontId="0" fillId="25" borderId="26" xfId="0" applyNumberFormat="1" applyFill="1" applyBorder="1" applyAlignment="1" applyProtection="1">
      <alignment/>
      <protection hidden="1"/>
    </xf>
    <xf numFmtId="178" fontId="0" fillId="25" borderId="26" xfId="0" applyNumberFormat="1" applyFill="1" applyBorder="1" applyAlignment="1" applyProtection="1">
      <alignment/>
      <protection hidden="1"/>
    </xf>
    <xf numFmtId="0" fontId="0" fillId="0" borderId="0" xfId="84" applyFill="1">
      <alignment/>
      <protection/>
    </xf>
    <xf numFmtId="1" fontId="11" fillId="0" borderId="0" xfId="89" applyNumberFormat="1" applyFont="1" applyFill="1">
      <alignment/>
      <protection/>
    </xf>
    <xf numFmtId="0" fontId="11" fillId="0" borderId="0" xfId="89" applyFont="1" applyFill="1">
      <alignment/>
      <protection/>
    </xf>
    <xf numFmtId="172" fontId="11" fillId="0" borderId="0" xfId="89" applyNumberFormat="1" applyFont="1" applyFill="1">
      <alignment/>
      <protection/>
    </xf>
    <xf numFmtId="0" fontId="41" fillId="0" borderId="0" xfId="89" applyFont="1" applyFill="1" applyBorder="1" applyProtection="1">
      <alignment/>
      <protection locked="0"/>
    </xf>
    <xf numFmtId="172" fontId="41" fillId="0" borderId="0" xfId="89" applyNumberFormat="1" applyFont="1" applyFill="1" applyBorder="1" applyProtection="1">
      <alignment/>
      <protection locked="0"/>
    </xf>
    <xf numFmtId="0" fontId="9" fillId="0" borderId="0" xfId="84" applyFont="1" applyFill="1" applyAlignment="1" applyProtection="1">
      <alignment/>
      <protection hidden="1"/>
    </xf>
    <xf numFmtId="172" fontId="3" fillId="0" borderId="0" xfId="111" applyNumberFormat="1" applyFont="1" applyFill="1" applyProtection="1">
      <alignment/>
      <protection locked="0"/>
    </xf>
    <xf numFmtId="172" fontId="9" fillId="0" borderId="0" xfId="89" applyNumberFormat="1" applyFont="1" applyFill="1" applyProtection="1">
      <alignment/>
      <protection locked="0"/>
    </xf>
    <xf numFmtId="172" fontId="3" fillId="0" borderId="0" xfId="84" applyNumberFormat="1" applyFont="1" applyFill="1" applyProtection="1">
      <alignment/>
      <protection locked="0"/>
    </xf>
    <xf numFmtId="172" fontId="3" fillId="0" borderId="0" xfId="111" applyNumberFormat="1" applyFont="1" applyFill="1">
      <alignment/>
      <protection/>
    </xf>
    <xf numFmtId="172" fontId="9" fillId="0" borderId="0" xfId="89" applyNumberFormat="1" applyFont="1" applyFill="1">
      <alignment/>
      <protection/>
    </xf>
    <xf numFmtId="172" fontId="9" fillId="0" borderId="0" xfId="89" applyNumberFormat="1" applyFont="1" applyFill="1" applyAlignment="1">
      <alignment horizontal="left"/>
      <protection/>
    </xf>
    <xf numFmtId="172" fontId="3" fillId="0" borderId="0" xfId="84" applyNumberFormat="1" applyFont="1" applyFill="1">
      <alignment/>
      <protection/>
    </xf>
    <xf numFmtId="178" fontId="0" fillId="0" borderId="0" xfId="0" applyNumberFormat="1" applyFill="1" applyAlignment="1" applyProtection="1">
      <alignment/>
      <protection hidden="1"/>
    </xf>
    <xf numFmtId="0" fontId="3" fillId="0" borderId="0" xfId="111" applyFill="1" applyBorder="1" applyProtection="1">
      <alignment/>
      <protection hidden="1"/>
    </xf>
    <xf numFmtId="172" fontId="3" fillId="0" borderId="0" xfId="84" applyNumberFormat="1" applyFont="1" applyFill="1" applyBorder="1">
      <alignment/>
      <protection/>
    </xf>
    <xf numFmtId="172" fontId="3" fillId="0" borderId="0" xfId="84" applyNumberFormat="1" applyFont="1" applyFill="1" applyBorder="1" applyProtection="1">
      <alignment/>
      <protection hidden="1"/>
    </xf>
    <xf numFmtId="0" fontId="3" fillId="0" borderId="0" xfId="84" applyFont="1" applyFill="1">
      <alignment/>
      <protection/>
    </xf>
    <xf numFmtId="0" fontId="173" fillId="25" borderId="16" xfId="89" applyFont="1" applyFill="1" applyBorder="1" applyAlignment="1" applyProtection="1">
      <alignment vertical="top" wrapText="1"/>
      <protection hidden="1"/>
    </xf>
    <xf numFmtId="0" fontId="173" fillId="25" borderId="18" xfId="89" applyFont="1" applyFill="1" applyBorder="1" applyAlignment="1" applyProtection="1">
      <alignment vertical="top" wrapText="1"/>
      <protection hidden="1"/>
    </xf>
    <xf numFmtId="0" fontId="3" fillId="25" borderId="0" xfId="95" applyFont="1" applyFill="1" applyBorder="1" applyAlignment="1" applyProtection="1">
      <alignment horizontal="left"/>
      <protection hidden="1"/>
    </xf>
    <xf numFmtId="0" fontId="46" fillId="25" borderId="0" xfId="0" applyFont="1" applyFill="1" applyBorder="1" applyAlignment="1" applyProtection="1">
      <alignment/>
      <protection hidden="1"/>
    </xf>
    <xf numFmtId="2" fontId="3" fillId="25" borderId="19" xfId="89" applyNumberFormat="1" applyFont="1" applyFill="1" applyBorder="1" applyAlignment="1" applyProtection="1">
      <alignment horizontal="center"/>
      <protection hidden="1"/>
    </xf>
    <xf numFmtId="0" fontId="3" fillId="22" borderId="19" xfId="89" applyFont="1" applyFill="1" applyBorder="1" applyAlignment="1" applyProtection="1">
      <alignment horizontal="center"/>
      <protection locked="0"/>
    </xf>
    <xf numFmtId="173" fontId="3" fillId="25" borderId="19" xfId="89" applyNumberFormat="1" applyFont="1" applyFill="1" applyBorder="1" applyAlignment="1" applyProtection="1">
      <alignment horizontal="center"/>
      <protection hidden="1"/>
    </xf>
    <xf numFmtId="0" fontId="5" fillId="25" borderId="0" xfId="0" applyFont="1" applyFill="1" applyAlignment="1" applyProtection="1">
      <alignment horizontal="right"/>
      <protection hidden="1"/>
    </xf>
    <xf numFmtId="173" fontId="3" fillId="25" borderId="19" xfId="95" applyNumberFormat="1" applyFont="1" applyFill="1" applyBorder="1" applyAlignment="1" applyProtection="1">
      <alignment horizontal="center"/>
      <protection hidden="1"/>
    </xf>
    <xf numFmtId="173" fontId="3" fillId="25" borderId="19" xfId="89" applyNumberFormat="1" applyFont="1" applyFill="1" applyBorder="1" applyAlignment="1">
      <alignment horizontal="center"/>
      <protection/>
    </xf>
    <xf numFmtId="173" fontId="3" fillId="22" borderId="19" xfId="84" applyNumberFormat="1" applyFont="1" applyFill="1" applyBorder="1" applyAlignment="1" applyProtection="1">
      <alignment horizontal="center"/>
      <protection locked="0"/>
    </xf>
    <xf numFmtId="0" fontId="3" fillId="25" borderId="20" xfId="89" applyFont="1" applyFill="1" applyBorder="1" applyAlignment="1">
      <alignment horizontal="left"/>
      <protection/>
    </xf>
    <xf numFmtId="0" fontId="3" fillId="25" borderId="21" xfId="89" applyFont="1" applyFill="1" applyBorder="1" applyAlignment="1">
      <alignment horizontal="left"/>
      <protection/>
    </xf>
    <xf numFmtId="0" fontId="3" fillId="25" borderId="27" xfId="89" applyFont="1" applyFill="1" applyBorder="1" applyAlignment="1">
      <alignment horizontal="left"/>
      <protection/>
    </xf>
    <xf numFmtId="0" fontId="43" fillId="0" borderId="19" xfId="87" applyFont="1" applyBorder="1" applyAlignment="1">
      <alignment horizontal="center"/>
      <protection/>
    </xf>
    <xf numFmtId="0" fontId="6" fillId="25" borderId="15" xfId="103" applyFont="1" applyFill="1" applyBorder="1" applyAlignment="1" applyProtection="1">
      <alignment horizontal="center"/>
      <protection/>
    </xf>
    <xf numFmtId="0" fontId="6" fillId="25" borderId="12" xfId="103" applyFont="1" applyFill="1" applyBorder="1" applyAlignment="1" applyProtection="1">
      <alignment horizontal="center"/>
      <protection/>
    </xf>
    <xf numFmtId="0" fontId="43" fillId="0" borderId="19" xfId="87" applyFont="1" applyBorder="1" applyAlignment="1">
      <alignment horizontal="center"/>
      <protection/>
    </xf>
    <xf numFmtId="0" fontId="43" fillId="0" borderId="19" xfId="87" applyFont="1" applyBorder="1" applyAlignment="1" applyProtection="1">
      <alignment horizontal="center"/>
      <protection hidden="1"/>
    </xf>
    <xf numFmtId="0" fontId="3" fillId="0" borderId="19" xfId="115" applyNumberFormat="1" applyFont="1" applyBorder="1" applyAlignment="1" applyProtection="1">
      <alignment horizontal="center"/>
      <protection hidden="1"/>
    </xf>
    <xf numFmtId="0" fontId="43" fillId="0" borderId="19" xfId="87" applyFont="1" applyBorder="1" applyAlignment="1" applyProtection="1">
      <alignment horizontal="center"/>
      <protection hidden="1"/>
    </xf>
    <xf numFmtId="0" fontId="6" fillId="4" borderId="0" xfId="93" applyFont="1" applyFill="1" applyAlignment="1" applyProtection="1">
      <alignment/>
      <protection locked="0"/>
    </xf>
    <xf numFmtId="0" fontId="0" fillId="4" borderId="0" xfId="0" applyFont="1" applyFill="1" applyAlignment="1" applyProtection="1">
      <alignment/>
      <protection locked="0"/>
    </xf>
    <xf numFmtId="0" fontId="3" fillId="25" borderId="11" xfId="77" applyFont="1" applyFill="1" applyBorder="1" applyAlignment="1" applyProtection="1">
      <alignment horizontal="center"/>
      <protection hidden="1"/>
    </xf>
    <xf numFmtId="0" fontId="10" fillId="25" borderId="0" xfId="113" applyFont="1" applyFill="1" applyAlignment="1" applyProtection="1">
      <alignment horizontal="left"/>
      <protection hidden="1"/>
    </xf>
    <xf numFmtId="0" fontId="43" fillId="25" borderId="0" xfId="87" applyFont="1" applyFill="1" applyAlignment="1">
      <alignment/>
      <protection/>
    </xf>
    <xf numFmtId="0" fontId="0" fillId="25" borderId="0" xfId="84" applyFont="1" applyFill="1" applyBorder="1" applyProtection="1">
      <alignment/>
      <protection/>
    </xf>
    <xf numFmtId="0" fontId="0" fillId="25" borderId="0" xfId="84" applyFont="1" applyFill="1" applyProtection="1">
      <alignment/>
      <protection/>
    </xf>
    <xf numFmtId="0" fontId="0" fillId="25" borderId="0" xfId="0" applyFill="1" applyAlignment="1" applyProtection="1">
      <alignment/>
      <protection/>
    </xf>
    <xf numFmtId="0" fontId="8" fillId="25" borderId="0" xfId="84" applyFont="1" applyFill="1" applyProtection="1">
      <alignment/>
      <protection/>
    </xf>
    <xf numFmtId="0" fontId="133" fillId="25" borderId="0" xfId="99" applyFont="1" applyFill="1" applyBorder="1" applyAlignment="1" applyProtection="1">
      <alignment horizontal="left"/>
      <protection/>
    </xf>
    <xf numFmtId="0" fontId="68" fillId="25" borderId="0" xfId="87" applyFont="1" applyFill="1" applyAlignment="1">
      <alignment/>
      <protection/>
    </xf>
    <xf numFmtId="0" fontId="68" fillId="0" borderId="0" xfId="0" applyFont="1" applyAlignment="1">
      <alignment horizontal="left" vertical="top" wrapText="1"/>
    </xf>
    <xf numFmtId="0" fontId="3" fillId="0" borderId="0" xfId="89" applyFont="1" applyFill="1">
      <alignment/>
      <protection/>
    </xf>
    <xf numFmtId="0" fontId="177" fillId="0" borderId="0" xfId="87" applyFont="1" applyFill="1" applyAlignment="1">
      <alignment/>
      <protection/>
    </xf>
    <xf numFmtId="0" fontId="26" fillId="4" borderId="0" xfId="0" applyFont="1" applyFill="1" applyAlignment="1" applyProtection="1">
      <alignment/>
      <protection locked="0"/>
    </xf>
    <xf numFmtId="0" fontId="0" fillId="17" borderId="0" xfId="99" applyFont="1" applyFill="1" applyAlignment="1" applyProtection="1">
      <alignment horizontal="centerContinuous"/>
      <protection hidden="1"/>
    </xf>
    <xf numFmtId="197" fontId="6" fillId="25" borderId="0" xfId="96" applyNumberFormat="1" applyFont="1" applyFill="1" applyProtection="1">
      <alignment/>
      <protection hidden="1"/>
    </xf>
    <xf numFmtId="0" fontId="0" fillId="22" borderId="0" xfId="89" applyFont="1" applyFill="1" applyBorder="1" applyProtection="1">
      <alignment/>
      <protection/>
    </xf>
    <xf numFmtId="0" fontId="3" fillId="22" borderId="19" xfId="0" applyFont="1" applyFill="1" applyBorder="1" applyAlignment="1" applyProtection="1" quotePrefix="1">
      <alignment horizontal="center"/>
      <protection locked="0"/>
    </xf>
    <xf numFmtId="0" fontId="43" fillId="22" borderId="19" xfId="87" applyFont="1" applyFill="1" applyBorder="1" applyAlignment="1" applyProtection="1">
      <alignment horizontal="center"/>
      <protection locked="0"/>
    </xf>
    <xf numFmtId="0" fontId="6" fillId="4" borderId="0" xfId="113" applyFont="1" applyFill="1" applyAlignment="1" applyProtection="1">
      <alignment/>
      <protection locked="0"/>
    </xf>
    <xf numFmtId="0" fontId="141" fillId="4" borderId="0" xfId="113" applyFont="1" applyFill="1" applyAlignment="1" applyProtection="1">
      <alignment/>
      <protection locked="0"/>
    </xf>
    <xf numFmtId="0" fontId="3" fillId="25" borderId="20" xfId="84" applyFont="1" applyFill="1" applyBorder="1" applyAlignment="1" applyProtection="1">
      <alignment horizontal="left"/>
      <protection hidden="1"/>
    </xf>
    <xf numFmtId="172" fontId="9" fillId="25" borderId="26" xfId="89" applyNumberFormat="1" applyFont="1" applyFill="1" applyBorder="1" applyAlignment="1" applyProtection="1">
      <alignment horizontal="right"/>
      <protection hidden="1"/>
    </xf>
    <xf numFmtId="172" fontId="112" fillId="25" borderId="27" xfId="89" applyNumberFormat="1" applyFont="1" applyFill="1" applyBorder="1" applyAlignment="1" applyProtection="1">
      <alignment horizontal="right"/>
      <protection hidden="1"/>
    </xf>
    <xf numFmtId="172" fontId="121" fillId="25" borderId="0" xfId="121" applyNumberFormat="1" applyFont="1" applyFill="1" applyBorder="1" applyAlignment="1" applyProtection="1">
      <alignment horizontal="left"/>
      <protection hidden="1"/>
    </xf>
    <xf numFmtId="0" fontId="43" fillId="25" borderId="0" xfId="80" applyFont="1" applyFill="1" applyBorder="1" applyAlignment="1">
      <alignment horizontal="left" wrapText="1"/>
      <protection/>
    </xf>
    <xf numFmtId="0" fontId="43" fillId="25" borderId="13" xfId="80" applyFont="1" applyFill="1" applyBorder="1" applyAlignment="1">
      <alignment horizontal="left" wrapText="1"/>
      <protection/>
    </xf>
    <xf numFmtId="0" fontId="3" fillId="25" borderId="0" xfId="95" applyFont="1" applyFill="1" applyAlignment="1">
      <alignment horizontal="left"/>
      <protection/>
    </xf>
    <xf numFmtId="0" fontId="3" fillId="0" borderId="21" xfId="84" applyFont="1" applyFill="1" applyBorder="1" applyAlignment="1" applyProtection="1">
      <alignment horizontal="center"/>
      <protection hidden="1"/>
    </xf>
    <xf numFmtId="0" fontId="65" fillId="0" borderId="0" xfId="84" applyFont="1" applyFill="1" applyBorder="1" applyProtection="1">
      <alignment/>
      <protection hidden="1"/>
    </xf>
    <xf numFmtId="0" fontId="178" fillId="0" borderId="0" xfId="84" applyFont="1" applyFill="1" applyBorder="1" applyProtection="1">
      <alignment/>
      <protection hidden="1"/>
    </xf>
    <xf numFmtId="0" fontId="3" fillId="25" borderId="0" xfId="84" applyFont="1" applyFill="1" applyBorder="1" applyAlignment="1" applyProtection="1">
      <alignment horizontal="centerContinuous"/>
      <protection/>
    </xf>
    <xf numFmtId="2" fontId="6" fillId="4" borderId="0" xfId="99" applyNumberFormat="1" applyFont="1" applyFill="1" applyProtection="1">
      <alignment/>
      <protection locked="0"/>
    </xf>
    <xf numFmtId="0" fontId="3" fillId="0" borderId="0" xfId="99" applyFont="1" applyFill="1" applyAlignment="1" applyProtection="1">
      <alignment horizontal="left"/>
      <protection/>
    </xf>
    <xf numFmtId="2" fontId="179" fillId="25" borderId="0" xfId="65" applyNumberFormat="1" applyFont="1" applyFill="1" applyAlignment="1" applyProtection="1">
      <alignment/>
      <protection/>
    </xf>
    <xf numFmtId="0" fontId="179" fillId="25" borderId="0" xfId="65" applyFont="1" applyFill="1" applyAlignment="1" applyProtection="1">
      <alignment/>
      <protection/>
    </xf>
    <xf numFmtId="0" fontId="3" fillId="4" borderId="19" xfId="0" applyFont="1" applyFill="1" applyBorder="1" applyAlignment="1" applyProtection="1">
      <alignment horizontal="center"/>
      <protection locked="0"/>
    </xf>
    <xf numFmtId="0" fontId="4" fillId="25" borderId="0" xfId="107" applyFont="1" applyFill="1" applyBorder="1" applyAlignment="1" applyProtection="1">
      <alignment horizontal="right"/>
      <protection hidden="1"/>
    </xf>
    <xf numFmtId="0" fontId="0" fillId="25" borderId="0" xfId="104" applyFill="1" applyProtection="1">
      <alignment/>
      <protection/>
    </xf>
    <xf numFmtId="0" fontId="44" fillId="25" borderId="0" xfId="118" applyFont="1" applyFill="1" applyProtection="1">
      <alignment/>
      <protection hidden="1"/>
    </xf>
    <xf numFmtId="0" fontId="6" fillId="25" borderId="0" xfId="104" applyFont="1" applyFill="1" applyProtection="1">
      <alignment/>
      <protection/>
    </xf>
    <xf numFmtId="0" fontId="133" fillId="25" borderId="0" xfId="104" applyFont="1" applyFill="1" applyProtection="1">
      <alignment/>
      <protection/>
    </xf>
    <xf numFmtId="0" fontId="135" fillId="25" borderId="0" xfId="104" applyFont="1" applyFill="1" applyProtection="1">
      <alignment/>
      <protection/>
    </xf>
    <xf numFmtId="0" fontId="61" fillId="25" borderId="0" xfId="70" applyFont="1" applyFill="1" applyAlignment="1" applyProtection="1">
      <alignment horizontal="right"/>
      <protection/>
    </xf>
    <xf numFmtId="0" fontId="6" fillId="25" borderId="0" xfId="104" applyFont="1" applyFill="1" applyAlignment="1" applyProtection="1">
      <alignment/>
      <protection hidden="1"/>
    </xf>
    <xf numFmtId="0" fontId="6" fillId="25" borderId="0" xfId="104" applyFont="1" applyFill="1" applyAlignment="1" applyProtection="1">
      <alignment horizontal="left"/>
      <protection hidden="1"/>
    </xf>
    <xf numFmtId="1" fontId="6" fillId="25" borderId="0" xfId="104" applyNumberFormat="1" applyFont="1" applyFill="1" applyAlignment="1" applyProtection="1">
      <alignment horizontal="right"/>
      <protection hidden="1"/>
    </xf>
    <xf numFmtId="0" fontId="0" fillId="25" borderId="0" xfId="104" applyFill="1" applyAlignment="1" applyProtection="1">
      <alignment/>
      <protection hidden="1"/>
    </xf>
    <xf numFmtId="172" fontId="6" fillId="25" borderId="0" xfId="104" applyNumberFormat="1" applyFont="1" applyFill="1" applyAlignment="1" applyProtection="1">
      <alignment horizontal="right"/>
      <protection hidden="1"/>
    </xf>
    <xf numFmtId="0" fontId="6" fillId="25" borderId="0" xfId="104" applyFont="1" applyFill="1" applyAlignment="1" applyProtection="1">
      <alignment horizontal="right"/>
      <protection hidden="1"/>
    </xf>
    <xf numFmtId="1" fontId="6" fillId="25" borderId="0" xfId="104" applyNumberFormat="1" applyFont="1" applyFill="1" applyAlignment="1" applyProtection="1">
      <alignment/>
      <protection hidden="1"/>
    </xf>
    <xf numFmtId="0" fontId="0" fillId="25" borderId="0" xfId="118" applyFill="1" applyAlignment="1" applyProtection="1">
      <alignment/>
      <protection hidden="1"/>
    </xf>
    <xf numFmtId="0" fontId="6" fillId="25" borderId="0" xfId="104" applyFont="1" applyFill="1" applyAlignment="1" applyProtection="1">
      <alignment vertical="center" wrapText="1"/>
      <protection hidden="1"/>
    </xf>
    <xf numFmtId="0" fontId="6" fillId="25" borderId="0" xfId="104" applyFont="1" applyFill="1" applyAlignment="1" applyProtection="1">
      <alignment vertical="center"/>
      <protection hidden="1"/>
    </xf>
    <xf numFmtId="0" fontId="6" fillId="25" borderId="0" xfId="104" applyFont="1" applyFill="1" applyAlignment="1" applyProtection="1">
      <alignment horizontal="left" vertical="center" wrapText="1"/>
      <protection hidden="1"/>
    </xf>
    <xf numFmtId="2" fontId="133" fillId="25" borderId="0" xfId="104" applyNumberFormat="1" applyFont="1" applyFill="1" applyAlignment="1" applyProtection="1">
      <alignment horizontal="left"/>
      <protection hidden="1"/>
    </xf>
    <xf numFmtId="1" fontId="181" fillId="25" borderId="0" xfId="104" applyNumberFormat="1" applyFont="1" applyFill="1" applyAlignment="1" applyProtection="1">
      <alignment horizontal="right"/>
      <protection hidden="1"/>
    </xf>
    <xf numFmtId="0" fontId="145" fillId="25" borderId="0" xfId="100" applyFont="1" applyFill="1" applyAlignment="1" applyProtection="1">
      <alignment horizontal="center" vertical="center" wrapText="1"/>
      <protection hidden="1"/>
    </xf>
    <xf numFmtId="172" fontId="141" fillId="25" borderId="0" xfId="104" applyNumberFormat="1" applyFont="1" applyFill="1" applyAlignment="1" applyProtection="1">
      <alignment horizontal="right"/>
      <protection hidden="1"/>
    </xf>
    <xf numFmtId="1" fontId="141" fillId="25" borderId="0" xfId="104" applyNumberFormat="1" applyFont="1" applyFill="1" applyAlignment="1" applyProtection="1">
      <alignment horizontal="left"/>
      <protection hidden="1"/>
    </xf>
    <xf numFmtId="0" fontId="6" fillId="25" borderId="10" xfId="104" applyFont="1" applyFill="1" applyBorder="1" applyAlignment="1" applyProtection="1">
      <alignment horizontal="center"/>
      <protection/>
    </xf>
    <xf numFmtId="172" fontId="6" fillId="25" borderId="10" xfId="104" applyNumberFormat="1" applyFont="1" applyFill="1" applyBorder="1" applyAlignment="1" applyProtection="1">
      <alignment horizontal="center"/>
      <protection/>
    </xf>
    <xf numFmtId="0" fontId="6" fillId="25" borderId="11" xfId="104" applyFont="1" applyFill="1" applyBorder="1" applyAlignment="1" applyProtection="1">
      <alignment horizontal="center"/>
      <protection/>
    </xf>
    <xf numFmtId="0" fontId="6" fillId="25" borderId="25" xfId="104" applyFont="1" applyFill="1" applyBorder="1" applyAlignment="1" applyProtection="1">
      <alignment horizontal="center"/>
      <protection/>
    </xf>
    <xf numFmtId="0" fontId="6" fillId="25" borderId="26" xfId="104" applyFont="1" applyFill="1" applyBorder="1" applyAlignment="1" applyProtection="1">
      <alignment horizontal="center"/>
      <protection/>
    </xf>
    <xf numFmtId="0" fontId="175" fillId="25" borderId="26" xfId="104" applyFont="1" applyFill="1" applyBorder="1" applyAlignment="1" applyProtection="1">
      <alignment horizontal="center"/>
      <protection/>
    </xf>
    <xf numFmtId="1" fontId="6" fillId="25" borderId="26" xfId="104" applyNumberFormat="1" applyFont="1" applyFill="1" applyBorder="1" applyAlignment="1" applyProtection="1">
      <alignment horizontal="center"/>
      <protection/>
    </xf>
    <xf numFmtId="0" fontId="6" fillId="25" borderId="15" xfId="104" applyFont="1" applyFill="1" applyBorder="1" applyAlignment="1" applyProtection="1">
      <alignment horizontal="center"/>
      <protection/>
    </xf>
    <xf numFmtId="0" fontId="6" fillId="25" borderId="12" xfId="104" applyFont="1" applyFill="1" applyBorder="1" applyAlignment="1" applyProtection="1">
      <alignment horizontal="center"/>
      <protection/>
    </xf>
    <xf numFmtId="0" fontId="6" fillId="25" borderId="14" xfId="104" applyFont="1" applyFill="1" applyBorder="1" applyAlignment="1" applyProtection="1">
      <alignment horizontal="center"/>
      <protection/>
    </xf>
    <xf numFmtId="0" fontId="6" fillId="25" borderId="13" xfId="104" applyFont="1" applyFill="1" applyBorder="1" applyAlignment="1" applyProtection="1">
      <alignment horizontal="center"/>
      <protection/>
    </xf>
    <xf numFmtId="0" fontId="175" fillId="25" borderId="13" xfId="104" applyFont="1" applyFill="1" applyBorder="1" applyAlignment="1" applyProtection="1">
      <alignment horizontal="center"/>
      <protection/>
    </xf>
    <xf numFmtId="1" fontId="6" fillId="25" borderId="13" xfId="104" applyNumberFormat="1" applyFont="1" applyFill="1" applyBorder="1" applyAlignment="1" applyProtection="1">
      <alignment horizontal="center"/>
      <protection/>
    </xf>
    <xf numFmtId="0" fontId="6" fillId="0" borderId="19" xfId="104" applyFont="1" applyBorder="1" applyAlignment="1" applyProtection="1">
      <alignment horizontal="left"/>
      <protection locked="0"/>
    </xf>
    <xf numFmtId="0" fontId="6" fillId="0" borderId="19" xfId="104" applyFont="1" applyBorder="1" applyAlignment="1" applyProtection="1">
      <alignment/>
      <protection locked="0"/>
    </xf>
    <xf numFmtId="0" fontId="6" fillId="0" borderId="12" xfId="104" applyFont="1" applyBorder="1" applyAlignment="1" applyProtection="1">
      <alignment horizontal="right"/>
      <protection locked="0"/>
    </xf>
    <xf numFmtId="1" fontId="6" fillId="0" borderId="12" xfId="104" applyNumberFormat="1" applyFont="1" applyFill="1" applyBorder="1" applyAlignment="1" applyProtection="1">
      <alignment/>
      <protection hidden="1"/>
    </xf>
    <xf numFmtId="0" fontId="6" fillId="0" borderId="12" xfId="104" applyFont="1" applyBorder="1" applyAlignment="1" applyProtection="1">
      <alignment/>
      <protection locked="0"/>
    </xf>
    <xf numFmtId="0" fontId="6" fillId="0" borderId="12" xfId="104" applyFont="1" applyFill="1" applyBorder="1" applyAlignment="1" applyProtection="1">
      <alignment horizontal="right"/>
      <protection locked="0"/>
    </xf>
    <xf numFmtId="1" fontId="6" fillId="0" borderId="12" xfId="104" applyNumberFormat="1" applyFont="1" applyBorder="1" applyAlignment="1" applyProtection="1">
      <alignment horizontal="right"/>
      <protection locked="0"/>
    </xf>
    <xf numFmtId="1" fontId="6" fillId="0" borderId="12" xfId="104" applyNumberFormat="1" applyFont="1" applyBorder="1" applyAlignment="1" applyProtection="1">
      <alignment/>
      <protection locked="0"/>
    </xf>
    <xf numFmtId="0" fontId="0" fillId="25" borderId="0" xfId="104" applyFill="1" applyAlignment="1" applyProtection="1">
      <alignment/>
      <protection locked="0"/>
    </xf>
    <xf numFmtId="0" fontId="6" fillId="0" borderId="19" xfId="104" applyFont="1" applyBorder="1" applyAlignment="1" applyProtection="1">
      <alignment horizontal="right"/>
      <protection locked="0"/>
    </xf>
    <xf numFmtId="1" fontId="6" fillId="0" borderId="19" xfId="104" applyNumberFormat="1" applyFont="1" applyFill="1" applyBorder="1" applyAlignment="1" applyProtection="1">
      <alignment/>
      <protection hidden="1"/>
    </xf>
    <xf numFmtId="0" fontId="6" fillId="24" borderId="19" xfId="104" applyFont="1" applyFill="1" applyBorder="1" applyAlignment="1" applyProtection="1">
      <alignment/>
      <protection locked="0"/>
    </xf>
    <xf numFmtId="0" fontId="6" fillId="0" borderId="19" xfId="104" applyFont="1" applyFill="1" applyBorder="1" applyAlignment="1" applyProtection="1">
      <alignment horizontal="right"/>
      <protection locked="0"/>
    </xf>
    <xf numFmtId="1" fontId="6" fillId="0" borderId="19" xfId="104" applyNumberFormat="1" applyFont="1" applyBorder="1" applyAlignment="1" applyProtection="1">
      <alignment horizontal="right"/>
      <protection locked="0"/>
    </xf>
    <xf numFmtId="1" fontId="6" fillId="0" borderId="19" xfId="104" applyNumberFormat="1" applyFont="1" applyBorder="1" applyAlignment="1" applyProtection="1">
      <alignment/>
      <protection locked="0"/>
    </xf>
    <xf numFmtId="0" fontId="0" fillId="0" borderId="19" xfId="104" applyBorder="1" applyAlignment="1" applyProtection="1">
      <alignment/>
      <protection locked="0"/>
    </xf>
    <xf numFmtId="0" fontId="6" fillId="0" borderId="19" xfId="104" applyFont="1" applyFill="1" applyBorder="1" applyAlignment="1" applyProtection="1">
      <alignment horizontal="left"/>
      <protection locked="0"/>
    </xf>
    <xf numFmtId="0" fontId="6" fillId="0" borderId="19" xfId="104" applyFont="1" applyFill="1" applyBorder="1" applyAlignment="1" applyProtection="1">
      <alignment/>
      <protection locked="0"/>
    </xf>
    <xf numFmtId="0" fontId="181" fillId="0" borderId="19" xfId="104" applyFont="1" applyBorder="1" applyAlignment="1" applyProtection="1">
      <alignment horizontal="right"/>
      <protection locked="0"/>
    </xf>
    <xf numFmtId="0" fontId="47" fillId="0" borderId="19" xfId="104" applyFont="1" applyBorder="1" applyAlignment="1" applyProtection="1">
      <alignment horizontal="left"/>
      <protection locked="0"/>
    </xf>
    <xf numFmtId="0" fontId="6" fillId="0" borderId="19" xfId="104" applyFont="1" applyFill="1" applyBorder="1" applyAlignment="1" applyProtection="1">
      <alignment horizontal="center"/>
      <protection locked="0"/>
    </xf>
    <xf numFmtId="0" fontId="0" fillId="0" borderId="19" xfId="104" applyBorder="1" applyAlignment="1">
      <alignment/>
      <protection/>
    </xf>
    <xf numFmtId="0" fontId="6" fillId="4" borderId="19" xfId="104" applyFont="1" applyFill="1" applyBorder="1" applyAlignment="1" applyProtection="1">
      <alignment horizontal="right"/>
      <protection locked="0"/>
    </xf>
    <xf numFmtId="1" fontId="6" fillId="0" borderId="19" xfId="104" applyNumberFormat="1" applyFont="1" applyFill="1" applyBorder="1" applyAlignment="1" applyProtection="1">
      <alignment/>
      <protection locked="0"/>
    </xf>
    <xf numFmtId="1" fontId="6" fillId="0" borderId="19" xfId="104" applyNumberFormat="1" applyFont="1" applyFill="1" applyBorder="1" applyAlignment="1" applyProtection="1">
      <alignment horizontal="right"/>
      <protection locked="0"/>
    </xf>
    <xf numFmtId="0" fontId="0" fillId="0" borderId="19" xfId="104" applyFill="1" applyBorder="1" applyAlignment="1" applyProtection="1">
      <alignment/>
      <protection locked="0"/>
    </xf>
    <xf numFmtId="0" fontId="6" fillId="25" borderId="0" xfId="104" applyFont="1" applyFill="1">
      <alignment/>
      <protection/>
    </xf>
    <xf numFmtId="0" fontId="6" fillId="0" borderId="0" xfId="104" applyFont="1">
      <alignment/>
      <protection/>
    </xf>
    <xf numFmtId="0" fontId="6" fillId="25" borderId="0" xfId="104" applyFont="1" applyFill="1" applyProtection="1">
      <alignment/>
      <protection hidden="1"/>
    </xf>
    <xf numFmtId="1" fontId="6" fillId="25" borderId="0" xfId="104" applyNumberFormat="1" applyFont="1" applyFill="1" applyProtection="1">
      <alignment/>
      <protection hidden="1"/>
    </xf>
    <xf numFmtId="0" fontId="0" fillId="25" borderId="0" xfId="104" applyFill="1" applyProtection="1">
      <alignment/>
      <protection hidden="1"/>
    </xf>
    <xf numFmtId="0" fontId="0" fillId="0" borderId="0" xfId="104">
      <alignment/>
      <protection/>
    </xf>
    <xf numFmtId="0" fontId="0" fillId="25" borderId="0" xfId="104" applyFill="1">
      <alignment/>
      <protection/>
    </xf>
    <xf numFmtId="0" fontId="6" fillId="25" borderId="0" xfId="104" applyFont="1" applyFill="1" applyBorder="1">
      <alignment/>
      <protection/>
    </xf>
    <xf numFmtId="0" fontId="0" fillId="25" borderId="0" xfId="104" applyFill="1" applyBorder="1">
      <alignment/>
      <protection/>
    </xf>
    <xf numFmtId="0" fontId="4" fillId="25" borderId="0" xfId="104" applyFont="1" applyFill="1" applyBorder="1" applyAlignment="1" applyProtection="1">
      <alignment horizontal="right"/>
      <protection hidden="1"/>
    </xf>
    <xf numFmtId="0" fontId="4" fillId="25" borderId="0" xfId="104" applyFont="1" applyFill="1" applyBorder="1" applyAlignment="1" applyProtection="1">
      <alignment horizontal="left"/>
      <protection hidden="1"/>
    </xf>
    <xf numFmtId="0" fontId="18" fillId="25" borderId="0" xfId="70" applyFont="1" applyFill="1" applyAlignment="1" applyProtection="1">
      <alignment horizontal="left"/>
      <protection hidden="1"/>
    </xf>
    <xf numFmtId="0" fontId="18" fillId="25" borderId="0" xfId="70" applyFont="1" applyFill="1" applyBorder="1" applyAlignment="1" applyProtection="1">
      <alignment horizontal="left"/>
      <protection hidden="1"/>
    </xf>
    <xf numFmtId="0" fontId="6" fillId="4" borderId="12" xfId="104" applyFont="1" applyFill="1" applyBorder="1" applyAlignment="1" applyProtection="1">
      <alignment horizontal="right"/>
      <protection locked="0"/>
    </xf>
    <xf numFmtId="1" fontId="141" fillId="0" borderId="0" xfId="104" applyNumberFormat="1" applyFont="1">
      <alignment/>
      <protection/>
    </xf>
    <xf numFmtId="0" fontId="141" fillId="25" borderId="0" xfId="104" applyFont="1" applyFill="1" applyAlignment="1" applyProtection="1">
      <alignment horizontal="left"/>
      <protection hidden="1"/>
    </xf>
    <xf numFmtId="0" fontId="141" fillId="25" borderId="0" xfId="104" applyFont="1" applyFill="1" applyAlignment="1" applyProtection="1">
      <alignment horizontal="right"/>
      <protection hidden="1"/>
    </xf>
    <xf numFmtId="1" fontId="6" fillId="0" borderId="19" xfId="103" applyNumberFormat="1" applyFont="1" applyFill="1" applyBorder="1" applyAlignment="1" applyProtection="1">
      <alignment/>
      <protection hidden="1"/>
    </xf>
    <xf numFmtId="0" fontId="0" fillId="25" borderId="0" xfId="104" applyFont="1" applyFill="1">
      <alignment/>
      <protection/>
    </xf>
    <xf numFmtId="2" fontId="6" fillId="25" borderId="0" xfId="104" applyNumberFormat="1" applyFont="1" applyFill="1" applyAlignment="1" applyProtection="1">
      <alignment horizontal="right"/>
      <protection hidden="1"/>
    </xf>
    <xf numFmtId="0" fontId="3" fillId="25" borderId="0" xfId="111" applyFont="1" applyFill="1" applyAlignment="1">
      <alignment/>
      <protection/>
    </xf>
    <xf numFmtId="172" fontId="9" fillId="25" borderId="0" xfId="89" applyNumberFormat="1" applyFont="1" applyFill="1" applyBorder="1" applyAlignment="1" applyProtection="1">
      <alignment/>
      <protection hidden="1"/>
    </xf>
    <xf numFmtId="0" fontId="17" fillId="25" borderId="10" xfId="81" applyFont="1" applyFill="1" applyBorder="1" applyAlignment="1" applyProtection="1">
      <alignment horizontal="center"/>
      <protection locked="0"/>
    </xf>
    <xf numFmtId="0" fontId="96" fillId="0" borderId="16" xfId="80" applyBorder="1">
      <alignment/>
      <protection/>
    </xf>
    <xf numFmtId="0" fontId="96" fillId="0" borderId="18" xfId="80" applyBorder="1">
      <alignment/>
      <protection/>
    </xf>
    <xf numFmtId="0" fontId="96" fillId="0" borderId="15" xfId="80" applyBorder="1">
      <alignment/>
      <protection/>
    </xf>
    <xf numFmtId="0" fontId="96" fillId="0" borderId="14" xfId="80" applyBorder="1">
      <alignment/>
      <protection/>
    </xf>
    <xf numFmtId="0" fontId="67" fillId="0" borderId="15" xfId="80" applyFont="1" applyBorder="1" applyAlignment="1">
      <alignment horizontal="center"/>
      <protection/>
    </xf>
    <xf numFmtId="0" fontId="67" fillId="0" borderId="14" xfId="80" applyFont="1" applyBorder="1" applyAlignment="1">
      <alignment horizontal="center"/>
      <protection/>
    </xf>
    <xf numFmtId="0" fontId="0" fillId="25" borderId="0" xfId="0" applyFill="1" applyAlignment="1" applyProtection="1">
      <alignment/>
      <protection locked="0"/>
    </xf>
    <xf numFmtId="0" fontId="182" fillId="25" borderId="0" xfId="89" applyNumberFormat="1" applyFont="1" applyFill="1" applyBorder="1" applyAlignment="1">
      <alignment vertical="center" wrapText="1"/>
      <protection/>
    </xf>
    <xf numFmtId="0" fontId="6" fillId="0" borderId="16" xfId="97" applyFont="1" applyBorder="1" applyAlignment="1" applyProtection="1">
      <alignment/>
      <protection locked="0"/>
    </xf>
    <xf numFmtId="2" fontId="3" fillId="25" borderId="0" xfId="111" applyNumberFormat="1" applyFont="1" applyFill="1" applyProtection="1">
      <alignment/>
      <protection hidden="1"/>
    </xf>
    <xf numFmtId="0" fontId="6" fillId="0" borderId="0" xfId="113" applyFont="1" applyAlignment="1">
      <alignment/>
      <protection/>
    </xf>
    <xf numFmtId="0" fontId="6" fillId="29" borderId="19" xfId="89" applyFont="1" applyFill="1" applyBorder="1" applyAlignment="1" applyProtection="1">
      <alignment horizontal="center"/>
      <protection locked="0"/>
    </xf>
    <xf numFmtId="2" fontId="6" fillId="29" borderId="19" xfId="95" applyNumberFormat="1" applyFont="1" applyFill="1" applyBorder="1" applyAlignment="1" applyProtection="1">
      <alignment horizontal="center"/>
      <protection locked="0"/>
    </xf>
    <xf numFmtId="0" fontId="6" fillId="29" borderId="19" xfId="95" applyFont="1" applyFill="1" applyBorder="1" applyAlignment="1" applyProtection="1">
      <alignment horizontal="center"/>
      <protection locked="0"/>
    </xf>
    <xf numFmtId="0" fontId="176" fillId="4" borderId="0" xfId="87" applyFont="1" applyFill="1" applyProtection="1">
      <alignment/>
      <protection locked="0"/>
    </xf>
    <xf numFmtId="0" fontId="181" fillId="25" borderId="0" xfId="113" applyFont="1" applyFill="1" applyAlignment="1" applyProtection="1">
      <alignment/>
      <protection hidden="1"/>
    </xf>
    <xf numFmtId="0" fontId="181" fillId="25" borderId="32" xfId="113" applyFont="1" applyFill="1" applyBorder="1" applyAlignment="1" applyProtection="1">
      <alignment/>
      <protection hidden="1"/>
    </xf>
    <xf numFmtId="0" fontId="6" fillId="4" borderId="26" xfId="0" applyFont="1" applyFill="1" applyBorder="1" applyAlignment="1" applyProtection="1">
      <alignment horizontal="right"/>
      <protection hidden="1"/>
    </xf>
    <xf numFmtId="0" fontId="6" fillId="0" borderId="27" xfId="0" applyFont="1" applyBorder="1" applyAlignment="1" applyProtection="1">
      <alignment horizontal="center" wrapText="1"/>
      <protection hidden="1"/>
    </xf>
    <xf numFmtId="0" fontId="136" fillId="25" borderId="25" xfId="99" applyFont="1" applyFill="1" applyBorder="1" applyAlignment="1" applyProtection="1">
      <alignment/>
      <protection hidden="1"/>
    </xf>
    <xf numFmtId="0" fontId="6" fillId="25" borderId="19" xfId="0" applyFont="1" applyFill="1" applyBorder="1" applyAlignment="1" applyProtection="1">
      <alignment horizontal="center" wrapText="1"/>
      <protection hidden="1"/>
    </xf>
    <xf numFmtId="0" fontId="0" fillId="0" borderId="0" xfId="0" applyNumberFormat="1" applyFont="1" applyFill="1" applyBorder="1" applyAlignment="1" applyProtection="1">
      <alignment horizontal="center" wrapText="1"/>
      <protection/>
    </xf>
    <xf numFmtId="173" fontId="0" fillId="0" borderId="0" xfId="0" applyNumberFormat="1" applyFont="1" applyFill="1" applyBorder="1" applyAlignment="1" applyProtection="1">
      <alignment horizontal="center" wrapText="1"/>
      <protection/>
    </xf>
    <xf numFmtId="173"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173"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26" borderId="0" xfId="0" applyNumberFormat="1" applyFont="1" applyFill="1" applyBorder="1" applyAlignment="1" applyProtection="1">
      <alignment horizontal="center" wrapText="1"/>
      <protection/>
    </xf>
    <xf numFmtId="0" fontId="9" fillId="0" borderId="16" xfId="87" applyFont="1" applyFill="1" applyBorder="1" applyAlignment="1" applyProtection="1">
      <alignment horizontal="right"/>
      <protection hidden="1"/>
    </xf>
    <xf numFmtId="0" fontId="3" fillId="25" borderId="0" xfId="89" applyFont="1" applyFill="1" applyBorder="1" applyAlignment="1" applyProtection="1">
      <alignment horizontal="left" vertical="center" wrapText="1"/>
      <protection hidden="1"/>
    </xf>
    <xf numFmtId="0" fontId="3" fillId="25" borderId="0" xfId="0" applyFont="1" applyFill="1" applyBorder="1" applyAlignment="1" applyProtection="1">
      <alignment horizontal="right"/>
      <protection hidden="1"/>
    </xf>
    <xf numFmtId="0" fontId="133" fillId="0" borderId="0" xfId="99" applyFont="1" applyBorder="1" applyProtection="1">
      <alignment/>
      <protection locked="0"/>
    </xf>
    <xf numFmtId="0" fontId="6" fillId="0" borderId="0" xfId="0" applyFont="1" applyAlignment="1" applyProtection="1">
      <alignment/>
      <protection hidden="1"/>
    </xf>
    <xf numFmtId="172" fontId="6" fillId="7" borderId="0" xfId="96" applyNumberFormat="1" applyFont="1" applyFill="1" applyBorder="1" applyProtection="1">
      <alignment/>
      <protection hidden="1"/>
    </xf>
    <xf numFmtId="0" fontId="7" fillId="25" borderId="19" xfId="89" applyFont="1" applyFill="1" applyBorder="1" applyAlignment="1" applyProtection="1">
      <alignment horizontal="center" wrapText="1"/>
      <protection hidden="1"/>
    </xf>
    <xf numFmtId="0" fontId="0" fillId="25" borderId="0" xfId="89" applyFill="1" applyBorder="1" applyAlignment="1" applyProtection="1">
      <alignment/>
      <protection hidden="1"/>
    </xf>
    <xf numFmtId="0" fontId="3" fillId="25" borderId="19" xfId="89" applyFont="1" applyFill="1" applyBorder="1" applyAlignment="1" applyProtection="1">
      <alignment horizontal="right" wrapText="1"/>
      <protection/>
    </xf>
    <xf numFmtId="0" fontId="3" fillId="22" borderId="19" xfId="89" applyFont="1" applyFill="1" applyBorder="1" applyAlignment="1" applyProtection="1">
      <alignment horizontal="right" wrapText="1"/>
      <protection locked="0"/>
    </xf>
    <xf numFmtId="0" fontId="6" fillId="25" borderId="0" xfId="0" applyFont="1" applyFill="1" applyAlignment="1">
      <alignment/>
    </xf>
    <xf numFmtId="0" fontId="6" fillId="29" borderId="12" xfId="77" applyFont="1" applyFill="1" applyBorder="1" applyAlignment="1" applyProtection="1">
      <alignment horizontal="center"/>
      <protection locked="0"/>
    </xf>
    <xf numFmtId="1" fontId="6" fillId="29" borderId="12" xfId="77" applyNumberFormat="1" applyFont="1" applyFill="1" applyBorder="1" applyAlignment="1" applyProtection="1">
      <alignment horizontal="center"/>
      <protection locked="0"/>
    </xf>
    <xf numFmtId="1" fontId="6" fillId="0" borderId="12" xfId="77" applyNumberFormat="1" applyFont="1" applyFill="1" applyBorder="1" applyAlignment="1" applyProtection="1">
      <alignment horizontal="center"/>
      <protection hidden="1"/>
    </xf>
    <xf numFmtId="1" fontId="6" fillId="25" borderId="12" xfId="113" applyNumberFormat="1" applyFont="1" applyFill="1" applyBorder="1" applyAlignment="1" applyProtection="1">
      <alignment horizontal="center"/>
      <protection hidden="1"/>
    </xf>
    <xf numFmtId="49" fontId="6" fillId="25" borderId="0" xfId="99" applyNumberFormat="1" applyFont="1" applyFill="1" applyBorder="1" applyProtection="1">
      <alignment/>
      <protection hidden="1"/>
    </xf>
    <xf numFmtId="0" fontId="6" fillId="25" borderId="0" xfId="93" applyFont="1" applyFill="1" applyBorder="1" applyProtection="1">
      <alignment/>
      <protection hidden="1"/>
    </xf>
    <xf numFmtId="0" fontId="6" fillId="25" borderId="0" xfId="96" applyFont="1" applyFill="1" applyAlignment="1" applyProtection="1">
      <alignment horizontal="left"/>
      <protection hidden="1"/>
    </xf>
    <xf numFmtId="0" fontId="6" fillId="25" borderId="0" xfId="96" applyFont="1" applyFill="1" applyBorder="1" applyAlignment="1" applyProtection="1">
      <alignment horizontal="left"/>
      <protection hidden="1"/>
    </xf>
    <xf numFmtId="0" fontId="6" fillId="25" borderId="0" xfId="0" applyFont="1" applyFill="1" applyBorder="1" applyAlignment="1" applyProtection="1">
      <alignment vertical="top"/>
      <protection hidden="1"/>
    </xf>
    <xf numFmtId="0" fontId="6" fillId="0" borderId="0" xfId="113" applyFont="1" applyBorder="1">
      <alignment/>
      <protection/>
    </xf>
    <xf numFmtId="0" fontId="6" fillId="25" borderId="0" xfId="0" applyFont="1" applyFill="1" applyBorder="1" applyAlignment="1" applyProtection="1">
      <alignment vertical="center"/>
      <protection hidden="1"/>
    </xf>
    <xf numFmtId="0" fontId="6" fillId="25" borderId="0" xfId="113" applyFont="1" applyFill="1" applyBorder="1" applyAlignment="1" applyProtection="1">
      <alignment horizontal="left"/>
      <protection hidden="1"/>
    </xf>
    <xf numFmtId="0" fontId="6" fillId="25" borderId="0" xfId="113" applyFont="1" applyFill="1" applyBorder="1" applyAlignment="1" applyProtection="1">
      <alignment vertical="center"/>
      <protection hidden="1"/>
    </xf>
    <xf numFmtId="0" fontId="6" fillId="25" borderId="19" xfId="89" applyFont="1" applyFill="1" applyBorder="1" applyAlignment="1" applyProtection="1">
      <alignment horizontal="center"/>
      <protection hidden="1"/>
    </xf>
    <xf numFmtId="0" fontId="133" fillId="25" borderId="19" xfId="89" applyFont="1" applyFill="1" applyBorder="1" applyAlignment="1" applyProtection="1">
      <alignment horizontal="center"/>
      <protection hidden="1"/>
    </xf>
    <xf numFmtId="0" fontId="6" fillId="25" borderId="15" xfId="0" applyFont="1" applyFill="1" applyBorder="1" applyAlignment="1" applyProtection="1">
      <alignment horizontal="center"/>
      <protection hidden="1"/>
    </xf>
    <xf numFmtId="0" fontId="6" fillId="25" borderId="12" xfId="0" applyFont="1" applyFill="1" applyBorder="1" applyAlignment="1" applyProtection="1">
      <alignment horizontal="center"/>
      <protection hidden="1"/>
    </xf>
    <xf numFmtId="1" fontId="6" fillId="25" borderId="0" xfId="96" applyNumberFormat="1" applyFont="1" applyFill="1" applyProtection="1">
      <alignment/>
      <protection hidden="1"/>
    </xf>
    <xf numFmtId="0" fontId="6" fillId="29" borderId="19" xfId="89" applyFont="1" applyFill="1" applyBorder="1" applyAlignment="1" applyProtection="1">
      <alignment horizontal="center"/>
      <protection locked="0"/>
    </xf>
    <xf numFmtId="1" fontId="6" fillId="25" borderId="0" xfId="113" applyNumberFormat="1" applyFont="1" applyFill="1" applyProtection="1">
      <alignment/>
      <protection hidden="1"/>
    </xf>
    <xf numFmtId="0" fontId="6" fillId="25" borderId="0" xfId="91" applyFont="1" applyFill="1" applyProtection="1">
      <alignment/>
      <protection hidden="1"/>
    </xf>
    <xf numFmtId="0" fontId="176" fillId="25" borderId="19" xfId="88" applyFont="1" applyFill="1" applyBorder="1" applyAlignment="1">
      <alignment horizontal="center"/>
      <protection/>
    </xf>
    <xf numFmtId="172" fontId="6" fillId="25" borderId="19" xfId="89" applyNumberFormat="1" applyFont="1" applyFill="1" applyBorder="1" applyAlignment="1" applyProtection="1">
      <alignment horizontal="center"/>
      <protection hidden="1"/>
    </xf>
    <xf numFmtId="172" fontId="6" fillId="0" borderId="19" xfId="89" applyNumberFormat="1" applyFont="1" applyBorder="1" applyAlignment="1">
      <alignment horizontal="center"/>
      <protection/>
    </xf>
    <xf numFmtId="0" fontId="6" fillId="25" borderId="0" xfId="89" applyFont="1" applyFill="1" applyBorder="1" applyAlignment="1" applyProtection="1">
      <alignment vertical="top" wrapText="1"/>
      <protection hidden="1"/>
    </xf>
    <xf numFmtId="0" fontId="0" fillId="0" borderId="19" xfId="0" applyBorder="1" applyAlignment="1">
      <alignment horizontal="center"/>
    </xf>
    <xf numFmtId="0" fontId="2" fillId="25" borderId="0" xfId="65" applyFill="1" applyAlignment="1" applyProtection="1">
      <alignment/>
      <protection/>
    </xf>
    <xf numFmtId="0" fontId="4" fillId="25" borderId="0" xfId="0" applyFont="1" applyFill="1" applyAlignment="1" applyProtection="1">
      <alignment horizontal="right"/>
      <protection hidden="1"/>
    </xf>
    <xf numFmtId="0" fontId="6" fillId="29" borderId="19" xfId="99" applyFont="1" applyFill="1" applyBorder="1" applyProtection="1">
      <alignment/>
      <protection hidden="1"/>
    </xf>
    <xf numFmtId="0" fontId="6" fillId="4" borderId="19" xfId="99" applyFont="1" applyFill="1" applyBorder="1" applyProtection="1">
      <alignment/>
      <protection hidden="1"/>
    </xf>
    <xf numFmtId="0" fontId="3" fillId="24" borderId="19" xfId="113" applyFill="1" applyBorder="1" applyProtection="1">
      <alignment/>
      <protection/>
    </xf>
    <xf numFmtId="0" fontId="135" fillId="0" borderId="31" xfId="99" applyFont="1" applyFill="1" applyBorder="1" applyProtection="1">
      <alignment/>
      <protection hidden="1"/>
    </xf>
    <xf numFmtId="0" fontId="6" fillId="25" borderId="0" xfId="115" applyNumberFormat="1" applyFont="1" applyFill="1" applyBorder="1" applyAlignment="1" applyProtection="1">
      <alignment horizontal="center"/>
      <protection hidden="1"/>
    </xf>
    <xf numFmtId="0" fontId="6" fillId="4" borderId="0" xfId="104" applyFont="1" applyFill="1" applyAlignment="1" applyProtection="1">
      <alignment/>
      <protection locked="0"/>
    </xf>
    <xf numFmtId="172" fontId="3" fillId="0" borderId="19" xfId="115" applyNumberFormat="1" applyFont="1" applyBorder="1" applyAlignment="1" applyProtection="1">
      <alignment horizontal="center"/>
      <protection hidden="1"/>
    </xf>
    <xf numFmtId="0" fontId="36" fillId="25" borderId="13" xfId="111" applyFont="1" applyFill="1" applyBorder="1" applyAlignment="1" applyProtection="1">
      <alignment/>
      <protection/>
    </xf>
    <xf numFmtId="0" fontId="176" fillId="29" borderId="19" xfId="87" applyFont="1" applyFill="1" applyBorder="1" applyAlignment="1" applyProtection="1">
      <alignment horizontal="center"/>
      <protection locked="0"/>
    </xf>
    <xf numFmtId="0" fontId="0" fillId="29" borderId="19" xfId="0" applyFill="1" applyBorder="1" applyAlignment="1" applyProtection="1">
      <alignment horizontal="center"/>
      <protection locked="0"/>
    </xf>
    <xf numFmtId="0" fontId="3" fillId="0" borderId="0" xfId="89" applyFont="1" applyFill="1" applyBorder="1" applyAlignment="1" applyProtection="1">
      <alignment horizontal="center"/>
      <protection hidden="1"/>
    </xf>
    <xf numFmtId="0" fontId="3" fillId="0" borderId="0" xfId="89" applyFont="1" applyFill="1" applyBorder="1" applyAlignment="1" applyProtection="1">
      <alignment horizontal="left"/>
      <protection hidden="1"/>
    </xf>
    <xf numFmtId="0" fontId="3" fillId="25" borderId="0" xfId="89" applyFont="1" applyFill="1" applyBorder="1" applyAlignment="1" applyProtection="1">
      <alignment horizontal="left"/>
      <protection hidden="1"/>
    </xf>
    <xf numFmtId="172" fontId="3" fillId="0" borderId="0" xfId="89" applyNumberFormat="1" applyFont="1" applyFill="1" applyBorder="1" applyAlignment="1" applyProtection="1">
      <alignment horizontal="center"/>
      <protection hidden="1"/>
    </xf>
    <xf numFmtId="2" fontId="3" fillId="0" borderId="0" xfId="89" applyNumberFormat="1" applyFont="1" applyFill="1" applyBorder="1" applyAlignment="1" applyProtection="1">
      <alignment horizontal="center"/>
      <protection hidden="1"/>
    </xf>
    <xf numFmtId="4" fontId="3" fillId="25" borderId="0" xfId="89" applyNumberFormat="1" applyFont="1" applyFill="1" applyBorder="1" applyAlignment="1" applyProtection="1">
      <alignment horizontal="center"/>
      <protection hidden="1"/>
    </xf>
    <xf numFmtId="0" fontId="3" fillId="25" borderId="0" xfId="120" applyFill="1" applyBorder="1" applyProtection="1">
      <alignment/>
      <protection hidden="1"/>
    </xf>
    <xf numFmtId="0" fontId="3" fillId="25" borderId="0" xfId="120" applyFill="1" applyBorder="1" applyAlignment="1" applyProtection="1">
      <alignment horizontal="center"/>
      <protection hidden="1"/>
    </xf>
    <xf numFmtId="1" fontId="3" fillId="25" borderId="0" xfId="120" applyNumberFormat="1" applyFill="1" applyBorder="1" applyProtection="1">
      <alignment/>
      <protection hidden="1"/>
    </xf>
    <xf numFmtId="49" fontId="3" fillId="25" borderId="0" xfId="120" applyNumberFormat="1" applyFill="1" applyBorder="1" applyProtection="1">
      <alignment/>
      <protection hidden="1"/>
    </xf>
    <xf numFmtId="0" fontId="32" fillId="25" borderId="0" xfId="111" applyFont="1" applyFill="1" applyBorder="1" applyAlignment="1" applyProtection="1">
      <alignment horizontal="right"/>
      <protection/>
    </xf>
    <xf numFmtId="0" fontId="148" fillId="25" borderId="0" xfId="113" applyFont="1" applyFill="1" applyBorder="1" applyAlignment="1" applyProtection="1">
      <alignment/>
      <protection hidden="1"/>
    </xf>
    <xf numFmtId="0" fontId="179" fillId="0" borderId="0" xfId="65" applyFont="1" applyBorder="1" applyAlignment="1" applyProtection="1">
      <alignment/>
      <protection locked="0"/>
    </xf>
    <xf numFmtId="0" fontId="6" fillId="19" borderId="0" xfId="91" applyFont="1" applyFill="1" applyProtection="1">
      <alignment/>
      <protection hidden="1"/>
    </xf>
    <xf numFmtId="0" fontId="12" fillId="4" borderId="36" xfId="0" applyFont="1" applyFill="1" applyBorder="1" applyAlignment="1" applyProtection="1">
      <alignment/>
      <protection locked="0"/>
    </xf>
    <xf numFmtId="172" fontId="12" fillId="0" borderId="36" xfId="0" applyNumberFormat="1" applyFont="1" applyBorder="1" applyAlignment="1">
      <alignment/>
    </xf>
    <xf numFmtId="0" fontId="18" fillId="0" borderId="0" xfId="65" applyFont="1" applyAlignment="1" applyProtection="1">
      <alignment horizontal="right"/>
      <protection/>
    </xf>
    <xf numFmtId="0" fontId="61" fillId="25" borderId="0" xfId="65" applyFont="1" applyFill="1" applyAlignment="1" applyProtection="1">
      <alignment horizontal="right"/>
      <protection hidden="1"/>
    </xf>
    <xf numFmtId="0" fontId="3" fillId="25" borderId="16" xfId="89" applyFont="1" applyFill="1" applyBorder="1" applyAlignment="1" applyProtection="1">
      <alignment/>
      <protection hidden="1"/>
    </xf>
    <xf numFmtId="0" fontId="3" fillId="25" borderId="0" xfId="111" applyFont="1" applyFill="1" applyAlignment="1" applyProtection="1">
      <alignment horizontal="right"/>
      <protection hidden="1"/>
    </xf>
    <xf numFmtId="172" fontId="3" fillId="25" borderId="0" xfId="89" applyNumberFormat="1" applyFont="1" applyFill="1" applyBorder="1" applyAlignment="1" applyProtection="1">
      <alignment/>
      <protection hidden="1"/>
    </xf>
    <xf numFmtId="1" fontId="3" fillId="0" borderId="16" xfId="84" applyNumberFormat="1" applyFont="1" applyBorder="1" applyAlignment="1" applyProtection="1">
      <alignment/>
      <protection hidden="1"/>
    </xf>
    <xf numFmtId="1" fontId="3" fillId="0" borderId="18" xfId="84" applyNumberFormat="1" applyFont="1" applyBorder="1" applyAlignment="1" applyProtection="1">
      <alignment/>
      <protection hidden="1"/>
    </xf>
    <xf numFmtId="0" fontId="3" fillId="25" borderId="0" xfId="84" applyFont="1" applyFill="1" applyAlignment="1" applyProtection="1">
      <alignment/>
      <protection/>
    </xf>
    <xf numFmtId="0" fontId="3" fillId="25" borderId="10" xfId="89" applyFont="1" applyFill="1" applyBorder="1" applyAlignment="1" applyProtection="1">
      <alignment/>
      <protection hidden="1"/>
    </xf>
    <xf numFmtId="0" fontId="3" fillId="0" borderId="0" xfId="89" applyFont="1" applyBorder="1" applyAlignment="1" applyProtection="1">
      <alignment/>
      <protection hidden="1"/>
    </xf>
    <xf numFmtId="0" fontId="36" fillId="25" borderId="0" xfId="111" applyNumberFormat="1" applyFont="1" applyFill="1" applyProtection="1">
      <alignment/>
      <protection hidden="1"/>
    </xf>
    <xf numFmtId="0" fontId="3" fillId="25" borderId="0" xfId="111" applyFill="1" applyBorder="1" applyAlignment="1" applyProtection="1">
      <alignment/>
      <protection hidden="1"/>
    </xf>
    <xf numFmtId="0" fontId="36" fillId="25" borderId="0" xfId="111" applyFont="1" applyFill="1" applyAlignment="1" applyProtection="1">
      <alignment/>
      <protection hidden="1"/>
    </xf>
    <xf numFmtId="0" fontId="0" fillId="25" borderId="0" xfId="84" applyFill="1" applyAlignment="1" applyProtection="1">
      <alignment/>
      <protection/>
    </xf>
    <xf numFmtId="0" fontId="3" fillId="25" borderId="0" xfId="84" applyFont="1" applyFill="1" applyAlignment="1" applyProtection="1">
      <alignment horizontal="center"/>
      <protection/>
    </xf>
    <xf numFmtId="0" fontId="3" fillId="25" borderId="0" xfId="111" applyFill="1" applyAlignment="1" applyProtection="1">
      <alignment/>
      <protection/>
    </xf>
    <xf numFmtId="0" fontId="3" fillId="0" borderId="0" xfId="111" applyAlignment="1">
      <alignment/>
      <protection/>
    </xf>
    <xf numFmtId="0" fontId="3" fillId="25" borderId="26" xfId="89" applyFont="1" applyFill="1" applyBorder="1" applyAlignment="1" applyProtection="1">
      <alignment/>
      <protection hidden="1"/>
    </xf>
    <xf numFmtId="0" fontId="3" fillId="25" borderId="25" xfId="111" applyFill="1" applyBorder="1" applyAlignment="1">
      <alignment/>
      <protection/>
    </xf>
    <xf numFmtId="0" fontId="3" fillId="25" borderId="18" xfId="111" applyFill="1" applyBorder="1" applyAlignment="1">
      <alignment/>
      <protection/>
    </xf>
    <xf numFmtId="2" fontId="116" fillId="22" borderId="0" xfId="111" applyNumberFormat="1" applyFont="1" applyFill="1" applyBorder="1" applyAlignment="1" applyProtection="1">
      <alignment/>
      <protection locked="0"/>
    </xf>
    <xf numFmtId="1" fontId="102" fillId="22" borderId="0" xfId="111" applyNumberFormat="1" applyFont="1" applyFill="1" applyBorder="1" applyAlignment="1" applyProtection="1">
      <alignment/>
      <protection locked="0"/>
    </xf>
    <xf numFmtId="0" fontId="3" fillId="25" borderId="15" xfId="0" applyFont="1" applyFill="1" applyBorder="1" applyAlignment="1" applyProtection="1">
      <alignment/>
      <protection hidden="1"/>
    </xf>
    <xf numFmtId="0" fontId="3" fillId="25" borderId="13" xfId="0" applyFont="1" applyFill="1" applyBorder="1" applyAlignment="1" applyProtection="1">
      <alignment/>
      <protection hidden="1"/>
    </xf>
    <xf numFmtId="2" fontId="109" fillId="25" borderId="14" xfId="0" applyNumberFormat="1" applyFont="1" applyFill="1" applyBorder="1" applyAlignment="1" applyProtection="1">
      <alignment/>
      <protection hidden="1"/>
    </xf>
    <xf numFmtId="2" fontId="9" fillId="25" borderId="13" xfId="111" applyNumberFormat="1" applyFont="1" applyFill="1" applyBorder="1" applyAlignment="1" applyProtection="1">
      <alignment/>
      <protection hidden="1"/>
    </xf>
    <xf numFmtId="1" fontId="65" fillId="25" borderId="0" xfId="0" applyNumberFormat="1" applyFont="1" applyFill="1" applyBorder="1" applyAlignment="1" applyProtection="1">
      <alignment/>
      <protection hidden="1"/>
    </xf>
    <xf numFmtId="1" fontId="3" fillId="25" borderId="0" xfId="111" applyNumberFormat="1" applyFont="1" applyFill="1" applyBorder="1" applyAlignment="1" applyProtection="1">
      <alignment/>
      <protection hidden="1"/>
    </xf>
    <xf numFmtId="1" fontId="77" fillId="25" borderId="0" xfId="0" applyNumberFormat="1" applyFont="1" applyFill="1" applyBorder="1" applyAlignment="1" applyProtection="1">
      <alignment/>
      <protection hidden="1"/>
    </xf>
    <xf numFmtId="1" fontId="109" fillId="25" borderId="0" xfId="0" applyNumberFormat="1" applyFont="1" applyFill="1" applyBorder="1" applyAlignment="1" applyProtection="1">
      <alignment/>
      <protection hidden="1"/>
    </xf>
    <xf numFmtId="0" fontId="10" fillId="25" borderId="20" xfId="111" applyFont="1" applyFill="1" applyBorder="1" applyAlignment="1" applyProtection="1">
      <alignment/>
      <protection hidden="1"/>
    </xf>
    <xf numFmtId="0" fontId="10" fillId="25" borderId="27" xfId="111" applyFont="1" applyFill="1" applyBorder="1" applyAlignment="1" applyProtection="1">
      <alignment/>
      <protection hidden="1"/>
    </xf>
    <xf numFmtId="0" fontId="3" fillId="25" borderId="10" xfId="0" applyFont="1" applyFill="1" applyBorder="1" applyAlignment="1" applyProtection="1">
      <alignment/>
      <protection hidden="1"/>
    </xf>
    <xf numFmtId="0" fontId="3" fillId="25" borderId="26" xfId="0" applyFont="1" applyFill="1" applyBorder="1" applyAlignment="1" applyProtection="1">
      <alignment/>
      <protection hidden="1"/>
    </xf>
    <xf numFmtId="172" fontId="65" fillId="25" borderId="0" xfId="0" applyNumberFormat="1" applyFont="1" applyFill="1" applyBorder="1" applyAlignment="1" applyProtection="1">
      <alignment/>
      <protection hidden="1"/>
    </xf>
    <xf numFmtId="172" fontId="77" fillId="25" borderId="0" xfId="0" applyNumberFormat="1" applyFont="1" applyFill="1" applyBorder="1" applyAlignment="1" applyProtection="1">
      <alignment/>
      <protection hidden="1"/>
    </xf>
    <xf numFmtId="172" fontId="109" fillId="25" borderId="0" xfId="0" applyNumberFormat="1" applyFont="1" applyFill="1" applyBorder="1" applyAlignment="1" applyProtection="1">
      <alignment/>
      <protection hidden="1"/>
    </xf>
    <xf numFmtId="1" fontId="122" fillId="25" borderId="0" xfId="0" applyNumberFormat="1" applyFont="1" applyFill="1" applyBorder="1" applyAlignment="1" applyProtection="1">
      <alignment/>
      <protection hidden="1"/>
    </xf>
    <xf numFmtId="1" fontId="17" fillId="25" borderId="0" xfId="111" applyNumberFormat="1" applyFont="1" applyFill="1" applyBorder="1" applyAlignment="1" applyProtection="1">
      <alignment/>
      <protection hidden="1"/>
    </xf>
    <xf numFmtId="1" fontId="106" fillId="25" borderId="0" xfId="0" applyNumberFormat="1" applyFont="1" applyFill="1" applyBorder="1" applyAlignment="1" applyProtection="1">
      <alignment/>
      <protection hidden="1"/>
    </xf>
    <xf numFmtId="1" fontId="159" fillId="25" borderId="0" xfId="0" applyNumberFormat="1" applyFont="1" applyFill="1" applyBorder="1" applyAlignment="1" applyProtection="1">
      <alignment/>
      <protection hidden="1"/>
    </xf>
    <xf numFmtId="172" fontId="65" fillId="25" borderId="13" xfId="0" applyNumberFormat="1" applyFont="1" applyFill="1" applyBorder="1" applyAlignment="1" applyProtection="1">
      <alignment/>
      <protection hidden="1"/>
    </xf>
    <xf numFmtId="0" fontId="0" fillId="25" borderId="13" xfId="89" applyFill="1" applyBorder="1" applyAlignment="1" applyProtection="1">
      <alignment/>
      <protection hidden="1"/>
    </xf>
    <xf numFmtId="172" fontId="77" fillId="25" borderId="13" xfId="0" applyNumberFormat="1" applyFont="1" applyFill="1" applyBorder="1" applyAlignment="1" applyProtection="1">
      <alignment/>
      <protection hidden="1"/>
    </xf>
    <xf numFmtId="172" fontId="109" fillId="25" borderId="13" xfId="0" applyNumberFormat="1" applyFont="1" applyFill="1" applyBorder="1" applyAlignment="1" applyProtection="1">
      <alignment/>
      <protection hidden="1"/>
    </xf>
    <xf numFmtId="0" fontId="0" fillId="25" borderId="13" xfId="0" applyFill="1" applyBorder="1" applyAlignment="1" applyProtection="1">
      <alignment/>
      <protection hidden="1"/>
    </xf>
    <xf numFmtId="0" fontId="3" fillId="22" borderId="0" xfId="84" applyFont="1" applyFill="1" applyBorder="1" applyAlignment="1" applyProtection="1">
      <alignment/>
      <protection hidden="1"/>
    </xf>
    <xf numFmtId="0" fontId="3" fillId="29" borderId="0" xfId="84" applyFont="1" applyFill="1" applyBorder="1" applyAlignment="1" applyProtection="1">
      <alignment/>
      <protection hidden="1"/>
    </xf>
    <xf numFmtId="172" fontId="16" fillId="25" borderId="0" xfId="89" applyNumberFormat="1" applyFont="1" applyFill="1" applyAlignment="1" applyProtection="1">
      <alignment/>
      <protection hidden="1"/>
    </xf>
    <xf numFmtId="0" fontId="0" fillId="25" borderId="0" xfId="84" applyFill="1" applyAlignment="1">
      <alignment/>
      <protection/>
    </xf>
    <xf numFmtId="0" fontId="0" fillId="25" borderId="0" xfId="84" applyFont="1" applyFill="1" applyAlignment="1">
      <alignment/>
      <protection/>
    </xf>
    <xf numFmtId="0" fontId="9" fillId="25" borderId="0" xfId="84" applyFont="1" applyFill="1" applyBorder="1" applyAlignment="1" applyProtection="1">
      <alignment horizontal="center"/>
      <protection hidden="1"/>
    </xf>
    <xf numFmtId="0" fontId="3" fillId="25" borderId="26" xfId="84" applyFont="1" applyFill="1" applyBorder="1" applyAlignment="1" applyProtection="1">
      <alignment/>
      <protection/>
    </xf>
    <xf numFmtId="0" fontId="3" fillId="25" borderId="16" xfId="111" applyFill="1" applyBorder="1" applyAlignment="1">
      <alignment/>
      <protection/>
    </xf>
    <xf numFmtId="0" fontId="3" fillId="25" borderId="0" xfId="111" applyFill="1" applyBorder="1" applyAlignment="1">
      <alignment/>
      <protection/>
    </xf>
    <xf numFmtId="0" fontId="3" fillId="25" borderId="16" xfId="84" applyFont="1" applyFill="1" applyBorder="1" applyAlignment="1" applyProtection="1">
      <alignment/>
      <protection/>
    </xf>
    <xf numFmtId="0" fontId="3" fillId="25" borderId="0" xfId="84" applyFont="1" applyFill="1" applyBorder="1" applyAlignment="1" applyProtection="1">
      <alignment/>
      <protection/>
    </xf>
    <xf numFmtId="0" fontId="35" fillId="25" borderId="0" xfId="84" applyFont="1" applyFill="1" applyBorder="1" applyAlignment="1" applyProtection="1">
      <alignment/>
      <protection/>
    </xf>
    <xf numFmtId="0" fontId="3" fillId="0" borderId="27" xfId="84" applyFont="1" applyFill="1" applyBorder="1" applyAlignment="1" applyProtection="1">
      <alignment/>
      <protection hidden="1"/>
    </xf>
    <xf numFmtId="0" fontId="3" fillId="0" borderId="0" xfId="84" applyFont="1" applyBorder="1" applyAlignment="1">
      <alignment/>
      <protection/>
    </xf>
    <xf numFmtId="0" fontId="3" fillId="22" borderId="0" xfId="0" applyFont="1" applyFill="1" applyBorder="1" applyAlignment="1" applyProtection="1">
      <alignment/>
      <protection locked="0"/>
    </xf>
    <xf numFmtId="172" fontId="12" fillId="0" borderId="0" xfId="95" applyNumberFormat="1" applyFont="1" applyBorder="1" applyAlignment="1" applyProtection="1">
      <alignment/>
      <protection hidden="1"/>
    </xf>
    <xf numFmtId="0" fontId="3" fillId="22" borderId="10" xfId="84" applyFont="1" applyFill="1" applyBorder="1" applyAlignment="1" applyProtection="1">
      <alignment/>
      <protection locked="0"/>
    </xf>
    <xf numFmtId="0" fontId="3" fillId="22" borderId="11" xfId="84" applyFont="1" applyFill="1" applyBorder="1" applyAlignment="1" applyProtection="1">
      <alignment/>
      <protection locked="0"/>
    </xf>
    <xf numFmtId="0" fontId="3" fillId="22" borderId="26" xfId="84" applyFont="1" applyFill="1" applyBorder="1" applyAlignment="1" applyProtection="1">
      <alignment/>
      <protection locked="0"/>
    </xf>
    <xf numFmtId="0" fontId="3" fillId="0" borderId="10" xfId="84" applyFont="1" applyFill="1" applyBorder="1" applyAlignment="1" applyProtection="1">
      <alignment/>
      <protection locked="0"/>
    </xf>
    <xf numFmtId="0" fontId="3" fillId="0" borderId="11" xfId="84" applyFont="1" applyFill="1" applyBorder="1" applyAlignment="1" applyProtection="1">
      <alignment/>
      <protection locked="0"/>
    </xf>
    <xf numFmtId="0" fontId="3" fillId="29" borderId="25" xfId="84" applyFont="1" applyFill="1" applyBorder="1" applyAlignment="1" applyProtection="1">
      <alignment/>
      <protection locked="0"/>
    </xf>
    <xf numFmtId="0" fontId="3" fillId="29" borderId="11" xfId="84" applyFont="1" applyFill="1" applyBorder="1" applyAlignment="1" applyProtection="1">
      <alignment/>
      <protection locked="0"/>
    </xf>
    <xf numFmtId="0" fontId="3" fillId="22" borderId="16" xfId="84" applyFont="1" applyFill="1" applyBorder="1" applyAlignment="1" applyProtection="1">
      <alignment/>
      <protection locked="0"/>
    </xf>
    <xf numFmtId="0" fontId="3" fillId="22" borderId="17" xfId="84" applyFont="1" applyFill="1" applyBorder="1" applyAlignment="1" applyProtection="1">
      <alignment/>
      <protection locked="0"/>
    </xf>
    <xf numFmtId="0" fontId="3" fillId="22" borderId="0" xfId="84" applyFont="1" applyFill="1" applyBorder="1" applyAlignment="1" applyProtection="1">
      <alignment/>
      <protection locked="0"/>
    </xf>
    <xf numFmtId="0" fontId="3" fillId="0" borderId="16" xfId="84" applyFont="1" applyFill="1" applyBorder="1" applyAlignment="1" applyProtection="1">
      <alignment/>
      <protection locked="0"/>
    </xf>
    <xf numFmtId="0" fontId="3" fillId="0" borderId="17" xfId="84" applyFont="1" applyFill="1" applyBorder="1" applyAlignment="1" applyProtection="1">
      <alignment/>
      <protection locked="0"/>
    </xf>
    <xf numFmtId="0" fontId="3" fillId="29" borderId="18" xfId="84" applyFont="1" applyFill="1" applyBorder="1" applyAlignment="1" applyProtection="1">
      <alignment/>
      <protection locked="0"/>
    </xf>
    <xf numFmtId="0" fontId="3" fillId="29" borderId="17" xfId="84" applyFont="1" applyFill="1" applyBorder="1" applyAlignment="1" applyProtection="1">
      <alignment/>
      <protection locked="0"/>
    </xf>
    <xf numFmtId="0" fontId="0" fillId="25" borderId="16" xfId="84" applyFill="1" applyBorder="1" applyAlignment="1" applyProtection="1">
      <alignment/>
      <protection/>
    </xf>
    <xf numFmtId="0" fontId="0" fillId="0" borderId="0" xfId="84" applyFill="1" applyBorder="1" applyAlignment="1">
      <alignment/>
      <protection/>
    </xf>
    <xf numFmtId="0" fontId="36" fillId="0" borderId="0" xfId="84" applyFont="1" applyFill="1" applyBorder="1" applyAlignment="1">
      <alignment/>
      <protection/>
    </xf>
    <xf numFmtId="0" fontId="0" fillId="0" borderId="0" xfId="84" applyBorder="1" applyAlignment="1">
      <alignment/>
      <protection/>
    </xf>
    <xf numFmtId="0" fontId="35" fillId="0" borderId="0" xfId="84" applyFont="1" applyBorder="1" applyAlignment="1">
      <alignment/>
      <protection/>
    </xf>
    <xf numFmtId="0" fontId="3" fillId="29" borderId="18" xfId="111" applyFill="1" applyBorder="1" applyAlignment="1" applyProtection="1">
      <alignment/>
      <protection locked="0"/>
    </xf>
    <xf numFmtId="0" fontId="3" fillId="29" borderId="17" xfId="111" applyFill="1" applyBorder="1" applyAlignment="1" applyProtection="1">
      <alignment/>
      <protection locked="0"/>
    </xf>
    <xf numFmtId="49" fontId="30" fillId="26" borderId="0" xfId="84" applyNumberFormat="1" applyFont="1" applyFill="1" applyAlignment="1" applyProtection="1">
      <alignment/>
      <protection/>
    </xf>
    <xf numFmtId="49" fontId="30" fillId="25" borderId="16" xfId="84" applyNumberFormat="1" applyFont="1" applyFill="1" applyBorder="1" applyAlignment="1" applyProtection="1">
      <alignment/>
      <protection/>
    </xf>
    <xf numFmtId="49" fontId="30" fillId="0" borderId="0" xfId="84" applyNumberFormat="1" applyFont="1" applyFill="1" applyBorder="1" applyAlignment="1" applyProtection="1">
      <alignment/>
      <protection/>
    </xf>
    <xf numFmtId="49" fontId="30" fillId="0" borderId="18" xfId="84" applyNumberFormat="1" applyFont="1" applyFill="1" applyBorder="1" applyAlignment="1" applyProtection="1">
      <alignment/>
      <protection/>
    </xf>
    <xf numFmtId="0" fontId="36" fillId="0" borderId="0" xfId="84" applyFont="1" applyBorder="1" applyAlignment="1">
      <alignment/>
      <protection/>
    </xf>
    <xf numFmtId="0" fontId="3" fillId="22" borderId="12" xfId="84" applyFont="1" applyFill="1" applyBorder="1" applyAlignment="1" applyProtection="1">
      <alignment/>
      <protection locked="0"/>
    </xf>
    <xf numFmtId="0" fontId="3" fillId="22" borderId="13" xfId="84" applyFont="1" applyFill="1" applyBorder="1" applyAlignment="1" applyProtection="1">
      <alignment/>
      <protection locked="0"/>
    </xf>
    <xf numFmtId="0" fontId="3" fillId="0" borderId="15" xfId="84" applyFont="1" applyFill="1" applyBorder="1" applyAlignment="1" applyProtection="1">
      <alignment/>
      <protection locked="0"/>
    </xf>
    <xf numFmtId="0" fontId="3" fillId="0" borderId="12" xfId="84" applyFont="1" applyFill="1" applyBorder="1" applyAlignment="1" applyProtection="1">
      <alignment/>
      <protection locked="0"/>
    </xf>
    <xf numFmtId="0" fontId="3" fillId="29" borderId="14" xfId="84" applyFont="1" applyFill="1" applyBorder="1" applyAlignment="1" applyProtection="1">
      <alignment/>
      <protection locked="0"/>
    </xf>
    <xf numFmtId="0" fontId="3" fillId="29" borderId="14" xfId="111" applyFill="1" applyBorder="1" applyAlignment="1" applyProtection="1">
      <alignment/>
      <protection locked="0"/>
    </xf>
    <xf numFmtId="0" fontId="3" fillId="29" borderId="12" xfId="111" applyFill="1" applyBorder="1" applyAlignment="1" applyProtection="1">
      <alignment/>
      <protection locked="0"/>
    </xf>
    <xf numFmtId="0" fontId="9" fillId="25" borderId="12" xfId="84" applyFont="1" applyFill="1" applyBorder="1" applyAlignment="1" applyProtection="1">
      <alignment/>
      <protection locked="0"/>
    </xf>
    <xf numFmtId="0" fontId="9" fillId="29" borderId="15" xfId="84" applyFont="1" applyFill="1" applyBorder="1" applyAlignment="1" applyProtection="1">
      <alignment/>
      <protection locked="0"/>
    </xf>
    <xf numFmtId="2" fontId="9" fillId="22" borderId="10" xfId="84" applyNumberFormat="1" applyFont="1" applyFill="1" applyBorder="1" applyAlignment="1" applyProtection="1">
      <alignment/>
      <protection locked="0"/>
    </xf>
    <xf numFmtId="2" fontId="9" fillId="22" borderId="11" xfId="84" applyNumberFormat="1" applyFont="1" applyFill="1" applyBorder="1" applyAlignment="1" applyProtection="1">
      <alignment/>
      <protection locked="0"/>
    </xf>
    <xf numFmtId="2" fontId="3" fillId="29" borderId="10" xfId="84" applyNumberFormat="1" applyFont="1" applyFill="1" applyBorder="1" applyAlignment="1" applyProtection="1">
      <alignment/>
      <protection locked="0"/>
    </xf>
    <xf numFmtId="0" fontId="65" fillId="26" borderId="0" xfId="84" applyFont="1" applyFill="1" applyBorder="1" applyAlignment="1">
      <alignment/>
      <protection/>
    </xf>
    <xf numFmtId="2" fontId="3" fillId="0" borderId="16" xfId="84" applyNumberFormat="1" applyFont="1" applyFill="1" applyBorder="1" applyAlignment="1" applyProtection="1">
      <alignment/>
      <protection locked="0"/>
    </xf>
    <xf numFmtId="1" fontId="3" fillId="0" borderId="17" xfId="84" applyNumberFormat="1" applyFont="1" applyFill="1" applyBorder="1" applyAlignment="1" applyProtection="1">
      <alignment/>
      <protection hidden="1"/>
    </xf>
    <xf numFmtId="1" fontId="3" fillId="0" borderId="16" xfId="84" applyNumberFormat="1" applyFont="1" applyFill="1" applyBorder="1" applyAlignment="1" applyProtection="1">
      <alignment/>
      <protection hidden="1"/>
    </xf>
    <xf numFmtId="0" fontId="9" fillId="22" borderId="17" xfId="84" applyFont="1" applyFill="1" applyBorder="1" applyAlignment="1" applyProtection="1">
      <alignment/>
      <protection locked="0"/>
    </xf>
    <xf numFmtId="0" fontId="3" fillId="29" borderId="16" xfId="84" applyFont="1" applyFill="1" applyBorder="1" applyAlignment="1" applyProtection="1">
      <alignment/>
      <protection locked="0"/>
    </xf>
    <xf numFmtId="1" fontId="3" fillId="0" borderId="17" xfId="84" applyNumberFormat="1" applyFont="1" applyBorder="1" applyAlignment="1" applyProtection="1">
      <alignment/>
      <protection hidden="1"/>
    </xf>
    <xf numFmtId="1" fontId="3" fillId="0" borderId="0" xfId="84" applyNumberFormat="1" applyFont="1" applyBorder="1" applyAlignment="1" applyProtection="1">
      <alignment/>
      <protection hidden="1"/>
    </xf>
    <xf numFmtId="172" fontId="9" fillId="0" borderId="12" xfId="84" applyNumberFormat="1" applyFont="1" applyBorder="1" applyAlignment="1" applyProtection="1">
      <alignment/>
      <protection hidden="1"/>
    </xf>
    <xf numFmtId="172" fontId="3" fillId="0" borderId="14" xfId="84" applyNumberFormat="1" applyFont="1" applyBorder="1" applyAlignment="1" applyProtection="1">
      <alignment/>
      <protection hidden="1"/>
    </xf>
    <xf numFmtId="172" fontId="3" fillId="0" borderId="13" xfId="84" applyNumberFormat="1" applyFont="1" applyBorder="1" applyAlignment="1" applyProtection="1">
      <alignment/>
      <protection hidden="1"/>
    </xf>
    <xf numFmtId="172" fontId="3" fillId="0" borderId="15" xfId="84" applyNumberFormat="1" applyFont="1" applyBorder="1" applyAlignment="1" applyProtection="1">
      <alignment/>
      <protection hidden="1"/>
    </xf>
    <xf numFmtId="172" fontId="3" fillId="0" borderId="12" xfId="84" applyNumberFormat="1" applyFont="1" applyBorder="1" applyAlignment="1" applyProtection="1">
      <alignment/>
      <protection hidden="1"/>
    </xf>
    <xf numFmtId="172" fontId="39" fillId="0" borderId="12" xfId="84" applyNumberFormat="1" applyFont="1" applyBorder="1" applyAlignment="1" applyProtection="1">
      <alignment/>
      <protection hidden="1"/>
    </xf>
    <xf numFmtId="172" fontId="39" fillId="0" borderId="14" xfId="84" applyNumberFormat="1" applyFont="1" applyBorder="1" applyAlignment="1" applyProtection="1">
      <alignment/>
      <protection hidden="1"/>
    </xf>
    <xf numFmtId="172" fontId="39" fillId="0" borderId="13" xfId="84" applyNumberFormat="1" applyFont="1" applyBorder="1" applyAlignment="1" applyProtection="1">
      <alignment/>
      <protection hidden="1"/>
    </xf>
    <xf numFmtId="172" fontId="54" fillId="0" borderId="12" xfId="84" applyNumberFormat="1" applyFont="1" applyBorder="1" applyAlignment="1" applyProtection="1">
      <alignment/>
      <protection hidden="1"/>
    </xf>
    <xf numFmtId="172" fontId="54" fillId="0" borderId="14" xfId="84" applyNumberFormat="1" applyFont="1" applyBorder="1" applyAlignment="1" applyProtection="1">
      <alignment/>
      <protection hidden="1"/>
    </xf>
    <xf numFmtId="172" fontId="13" fillId="0" borderId="15" xfId="84" applyNumberFormat="1" applyFont="1" applyBorder="1" applyAlignment="1" applyProtection="1">
      <alignment/>
      <protection hidden="1"/>
    </xf>
    <xf numFmtId="0" fontId="3" fillId="0" borderId="0" xfId="84" applyFont="1" applyFill="1" applyBorder="1" applyAlignment="1">
      <alignment/>
      <protection/>
    </xf>
    <xf numFmtId="0" fontId="39" fillId="25" borderId="20" xfId="84" applyFont="1" applyFill="1" applyBorder="1" applyAlignment="1" applyProtection="1">
      <alignment/>
      <protection hidden="1"/>
    </xf>
    <xf numFmtId="172" fontId="39" fillId="25" borderId="20" xfId="84" applyNumberFormat="1" applyFont="1" applyFill="1" applyBorder="1" applyAlignment="1" applyProtection="1">
      <alignment/>
      <protection hidden="1"/>
    </xf>
    <xf numFmtId="0" fontId="39" fillId="25" borderId="21" xfId="84" applyFont="1" applyFill="1" applyBorder="1" applyAlignment="1" applyProtection="1">
      <alignment/>
      <protection hidden="1"/>
    </xf>
    <xf numFmtId="0" fontId="40" fillId="25" borderId="27" xfId="84" applyFont="1" applyFill="1" applyBorder="1" applyAlignment="1" applyProtection="1">
      <alignment/>
      <protection hidden="1"/>
    </xf>
    <xf numFmtId="172" fontId="40" fillId="25" borderId="20" xfId="84" applyNumberFormat="1" applyFont="1" applyFill="1" applyBorder="1" applyAlignment="1" applyProtection="1">
      <alignment/>
      <protection hidden="1"/>
    </xf>
    <xf numFmtId="0" fontId="40" fillId="25" borderId="21" xfId="84" applyFont="1" applyFill="1" applyBorder="1" applyAlignment="1" applyProtection="1">
      <alignment/>
      <protection hidden="1"/>
    </xf>
    <xf numFmtId="0" fontId="13" fillId="25" borderId="27" xfId="84" applyFont="1" applyFill="1" applyBorder="1" applyAlignment="1" applyProtection="1">
      <alignment/>
      <protection hidden="1"/>
    </xf>
    <xf numFmtId="172" fontId="13" fillId="25" borderId="20" xfId="84" applyNumberFormat="1" applyFont="1" applyFill="1" applyBorder="1" applyAlignment="1" applyProtection="1">
      <alignment/>
      <protection hidden="1"/>
    </xf>
    <xf numFmtId="0" fontId="13" fillId="25" borderId="21" xfId="84" applyFont="1" applyFill="1" applyBorder="1" applyAlignment="1" applyProtection="1">
      <alignment/>
      <protection hidden="1"/>
    </xf>
    <xf numFmtId="0" fontId="3" fillId="0" borderId="0" xfId="95" applyFont="1" applyFill="1" applyBorder="1" applyAlignment="1">
      <alignment/>
      <protection/>
    </xf>
    <xf numFmtId="0" fontId="33" fillId="0" borderId="0" xfId="89" applyFont="1" applyFill="1" applyBorder="1" applyAlignment="1" applyProtection="1">
      <alignment/>
      <protection hidden="1"/>
    </xf>
    <xf numFmtId="1" fontId="41" fillId="25" borderId="0" xfId="89" applyNumberFormat="1" applyFont="1" applyFill="1" applyBorder="1" applyAlignment="1" applyProtection="1">
      <alignment/>
      <protection hidden="1"/>
    </xf>
    <xf numFmtId="0" fontId="3" fillId="0" borderId="0" xfId="84" applyFont="1" applyFill="1" applyBorder="1" applyAlignment="1" applyProtection="1">
      <alignment/>
      <protection/>
    </xf>
    <xf numFmtId="0" fontId="3" fillId="22" borderId="0" xfId="89" applyFont="1" applyFill="1" applyBorder="1" applyAlignment="1" applyProtection="1">
      <alignment/>
      <protection locked="0"/>
    </xf>
    <xf numFmtId="0" fontId="3" fillId="0" borderId="0" xfId="89" applyFont="1" applyFill="1" applyBorder="1" applyAlignment="1" applyProtection="1">
      <alignment/>
      <protection hidden="1"/>
    </xf>
    <xf numFmtId="173" fontId="9" fillId="0" borderId="0" xfId="111" applyNumberFormat="1" applyFont="1" applyFill="1" applyBorder="1" applyAlignment="1" applyProtection="1">
      <alignment/>
      <protection hidden="1"/>
    </xf>
    <xf numFmtId="0" fontId="3" fillId="0" borderId="0" xfId="111" applyFont="1" applyFill="1" applyBorder="1" applyAlignment="1">
      <alignment/>
      <protection/>
    </xf>
    <xf numFmtId="2" fontId="3" fillId="0" borderId="0" xfId="81" applyNumberFormat="1" applyFont="1" applyFill="1" applyBorder="1" applyAlignment="1" applyProtection="1">
      <alignment/>
      <protection hidden="1"/>
    </xf>
    <xf numFmtId="2" fontId="3" fillId="0" borderId="12" xfId="89" applyNumberFormat="1" applyFont="1" applyFill="1" applyBorder="1" applyAlignment="1" applyProtection="1">
      <alignment horizontal="center"/>
      <protection hidden="1"/>
    </xf>
    <xf numFmtId="9" fontId="42" fillId="0" borderId="0" xfId="105" applyNumberFormat="1" applyFont="1" applyFill="1" applyBorder="1" applyAlignment="1" applyProtection="1">
      <alignment/>
      <protection hidden="1"/>
    </xf>
    <xf numFmtId="9" fontId="42" fillId="0" borderId="18" xfId="105" applyNumberFormat="1" applyFont="1" applyFill="1" applyBorder="1" applyAlignment="1" applyProtection="1">
      <alignment/>
      <protection hidden="1"/>
    </xf>
    <xf numFmtId="0" fontId="3" fillId="22" borderId="13" xfId="84" applyFont="1" applyFill="1" applyBorder="1" applyAlignment="1" applyProtection="1">
      <alignment/>
      <protection locked="0"/>
    </xf>
    <xf numFmtId="0" fontId="0" fillId="25" borderId="0" xfId="0" applyFont="1" applyFill="1" applyAlignment="1">
      <alignment/>
    </xf>
    <xf numFmtId="0" fontId="0" fillId="25" borderId="0" xfId="76" applyFill="1" applyAlignment="1">
      <alignment/>
      <protection/>
    </xf>
    <xf numFmtId="0" fontId="9" fillId="25" borderId="0" xfId="84" applyFont="1" applyFill="1" applyAlignment="1" applyProtection="1">
      <alignment/>
      <protection/>
    </xf>
    <xf numFmtId="0" fontId="0" fillId="0" borderId="0" xfId="89" applyAlignment="1">
      <alignment/>
      <protection/>
    </xf>
    <xf numFmtId="0" fontId="48" fillId="25" borderId="0" xfId="65" applyFont="1" applyFill="1" applyAlignment="1" applyProtection="1">
      <alignment horizontal="left" wrapText="1"/>
      <protection/>
    </xf>
    <xf numFmtId="0" fontId="44" fillId="25" borderId="0" xfId="0" applyFont="1" applyFill="1" applyAlignment="1" applyProtection="1">
      <alignment/>
      <protection/>
    </xf>
    <xf numFmtId="0" fontId="3" fillId="25" borderId="10" xfId="111" applyFill="1" applyBorder="1" applyAlignment="1" applyProtection="1">
      <alignment/>
      <protection hidden="1"/>
    </xf>
    <xf numFmtId="2" fontId="9" fillId="25" borderId="14" xfId="111" applyNumberFormat="1" applyFont="1" applyFill="1" applyBorder="1" applyAlignment="1" applyProtection="1">
      <alignment/>
      <protection hidden="1"/>
    </xf>
    <xf numFmtId="1" fontId="123" fillId="25" borderId="0" xfId="0" applyNumberFormat="1" applyFont="1" applyFill="1" applyBorder="1" applyAlignment="1" applyProtection="1">
      <alignment/>
      <protection hidden="1"/>
    </xf>
    <xf numFmtId="0" fontId="0" fillId="25" borderId="18" xfId="0" applyFill="1" applyBorder="1" applyAlignment="1" applyProtection="1">
      <alignment/>
      <protection hidden="1"/>
    </xf>
    <xf numFmtId="172" fontId="54" fillId="25" borderId="0" xfId="84" applyNumberFormat="1" applyFont="1" applyFill="1" applyBorder="1" applyAlignment="1" applyProtection="1">
      <alignment/>
      <protection hidden="1"/>
    </xf>
    <xf numFmtId="0" fontId="0" fillId="25" borderId="14" xfId="0" applyFill="1" applyBorder="1" applyAlignment="1" applyProtection="1">
      <alignment/>
      <protection hidden="1"/>
    </xf>
    <xf numFmtId="0" fontId="32" fillId="22" borderId="0" xfId="89" applyFont="1" applyFill="1" applyBorder="1" applyAlignment="1" applyProtection="1">
      <alignment horizontal="right"/>
      <protection locked="0"/>
    </xf>
    <xf numFmtId="0" fontId="11" fillId="25" borderId="0" xfId="89" applyFont="1" applyFill="1" applyBorder="1" applyAlignment="1" applyProtection="1">
      <alignment/>
      <protection hidden="1"/>
    </xf>
    <xf numFmtId="1" fontId="3" fillId="25" borderId="0" xfId="89" applyNumberFormat="1" applyFont="1" applyFill="1" applyBorder="1" applyAlignment="1" applyProtection="1">
      <alignment/>
      <protection hidden="1"/>
    </xf>
    <xf numFmtId="0" fontId="3" fillId="25" borderId="0" xfId="113" applyFill="1" applyAlignment="1">
      <alignment/>
      <protection/>
    </xf>
    <xf numFmtId="172" fontId="3" fillId="25" borderId="0" xfId="99" applyNumberFormat="1" applyFont="1" applyFill="1" applyAlignment="1" applyProtection="1">
      <alignment/>
      <protection hidden="1"/>
    </xf>
    <xf numFmtId="0" fontId="3" fillId="25" borderId="0" xfId="99" applyFont="1" applyFill="1" applyAlignment="1" applyProtection="1">
      <alignment/>
      <protection hidden="1"/>
    </xf>
    <xf numFmtId="0" fontId="6" fillId="25" borderId="0" xfId="113" applyFont="1" applyFill="1" applyAlignment="1">
      <alignment/>
      <protection/>
    </xf>
    <xf numFmtId="0" fontId="6" fillId="25" borderId="19" xfId="89" applyFont="1" applyFill="1" applyBorder="1" applyAlignment="1" applyProtection="1">
      <alignment horizontal="center"/>
      <protection hidden="1"/>
    </xf>
    <xf numFmtId="0" fontId="133" fillId="25" borderId="19" xfId="95" applyFont="1" applyFill="1" applyBorder="1" applyAlignment="1">
      <alignment horizontal="center"/>
      <protection/>
    </xf>
    <xf numFmtId="0" fontId="6" fillId="25" borderId="19" xfId="95" applyFont="1" applyFill="1" applyBorder="1" applyAlignment="1">
      <alignment horizontal="center"/>
      <protection/>
    </xf>
    <xf numFmtId="0" fontId="7" fillId="0" borderId="10" xfId="99" applyFont="1" applyBorder="1" applyAlignment="1" applyProtection="1">
      <alignment/>
      <protection hidden="1"/>
    </xf>
    <xf numFmtId="0" fontId="6" fillId="0" borderId="10" xfId="99" applyFont="1" applyBorder="1" applyAlignment="1" applyProtection="1">
      <alignment/>
      <protection hidden="1"/>
    </xf>
    <xf numFmtId="0" fontId="6" fillId="0" borderId="26" xfId="99" applyFont="1" applyBorder="1" applyAlignment="1" applyProtection="1">
      <alignment/>
      <protection hidden="1"/>
    </xf>
    <xf numFmtId="0" fontId="134" fillId="0" borderId="16" xfId="99" applyFont="1" applyBorder="1" applyAlignment="1" applyProtection="1">
      <alignment/>
      <protection hidden="1"/>
    </xf>
    <xf numFmtId="0" fontId="6" fillId="0" borderId="16" xfId="99" applyFont="1" applyFill="1" applyBorder="1" applyAlignment="1">
      <alignment/>
      <protection/>
    </xf>
    <xf numFmtId="0" fontId="6" fillId="4" borderId="0" xfId="99" applyFont="1" applyFill="1" applyBorder="1" applyAlignment="1" applyProtection="1">
      <alignment/>
      <protection locked="0"/>
    </xf>
    <xf numFmtId="1" fontId="130" fillId="0" borderId="18" xfId="76" applyNumberFormat="1" applyFont="1" applyFill="1" applyBorder="1" applyAlignment="1" applyProtection="1">
      <alignment/>
      <protection hidden="1"/>
    </xf>
    <xf numFmtId="0" fontId="130" fillId="0" borderId="0" xfId="99" applyFont="1" applyFill="1" applyBorder="1" applyAlignment="1" applyProtection="1">
      <alignment/>
      <protection locked="0"/>
    </xf>
    <xf numFmtId="0" fontId="130" fillId="24" borderId="0" xfId="99" applyFont="1" applyFill="1" applyBorder="1" applyAlignment="1" applyProtection="1">
      <alignment/>
      <protection locked="0"/>
    </xf>
    <xf numFmtId="0" fontId="130" fillId="0" borderId="0" xfId="99" applyFont="1" applyBorder="1" applyAlignment="1" applyProtection="1">
      <alignment/>
      <protection locked="0"/>
    </xf>
    <xf numFmtId="172" fontId="130" fillId="0" borderId="0" xfId="99" applyNumberFormat="1" applyFont="1" applyBorder="1" applyAlignment="1" applyProtection="1">
      <alignment/>
      <protection locked="0"/>
    </xf>
    <xf numFmtId="0" fontId="10" fillId="24" borderId="0" xfId="113" applyFont="1" applyFill="1" applyBorder="1" applyAlignment="1" applyProtection="1">
      <alignment/>
      <protection locked="0"/>
    </xf>
    <xf numFmtId="0" fontId="10" fillId="0" borderId="0" xfId="113" applyFont="1" applyBorder="1" applyAlignment="1" applyProtection="1">
      <alignment/>
      <protection locked="0"/>
    </xf>
    <xf numFmtId="0" fontId="10" fillId="0" borderId="32" xfId="113" applyFont="1" applyBorder="1" applyAlignment="1" applyProtection="1">
      <alignment/>
      <protection locked="0"/>
    </xf>
    <xf numFmtId="9" fontId="6" fillId="4" borderId="16" xfId="99" applyNumberFormat="1" applyFont="1" applyFill="1" applyBorder="1" applyAlignment="1" applyProtection="1">
      <alignment/>
      <protection locked="0"/>
    </xf>
    <xf numFmtId="0" fontId="6" fillId="0" borderId="0" xfId="99" applyFont="1" applyBorder="1" applyAlignment="1" applyProtection="1">
      <alignment/>
      <protection locked="0"/>
    </xf>
    <xf numFmtId="172" fontId="130" fillId="24" borderId="0" xfId="99" applyNumberFormat="1" applyFont="1" applyFill="1" applyBorder="1" applyAlignment="1" applyProtection="1">
      <alignment/>
      <protection locked="0"/>
    </xf>
    <xf numFmtId="9" fontId="3" fillId="4" borderId="16" xfId="113" applyNumberFormat="1" applyFill="1" applyBorder="1" applyAlignment="1" applyProtection="1">
      <alignment/>
      <protection locked="0"/>
    </xf>
    <xf numFmtId="0" fontId="6" fillId="0" borderId="16" xfId="99" applyFont="1" applyFill="1" applyBorder="1" applyAlignment="1" applyProtection="1">
      <alignment/>
      <protection locked="0"/>
    </xf>
    <xf numFmtId="0" fontId="130" fillId="4" borderId="0" xfId="99" applyFont="1" applyFill="1" applyBorder="1" applyAlignment="1" applyProtection="1">
      <alignment/>
      <protection locked="0"/>
    </xf>
    <xf numFmtId="1" fontId="135" fillId="0" borderId="16" xfId="99" applyNumberFormat="1" applyFont="1" applyFill="1" applyBorder="1" applyAlignment="1" applyProtection="1">
      <alignment/>
      <protection hidden="1"/>
    </xf>
    <xf numFmtId="1" fontId="135" fillId="0" borderId="0" xfId="99" applyNumberFormat="1" applyFont="1" applyFill="1" applyBorder="1" applyAlignment="1" applyProtection="1">
      <alignment/>
      <protection hidden="1"/>
    </xf>
    <xf numFmtId="0" fontId="7" fillId="0" borderId="16" xfId="99" applyFont="1" applyFill="1" applyBorder="1" applyAlignment="1" applyProtection="1">
      <alignment/>
      <protection hidden="1"/>
    </xf>
    <xf numFmtId="0" fontId="0" fillId="0" borderId="0" xfId="99" applyFont="1" applyFill="1" applyBorder="1" applyAlignment="1" applyProtection="1">
      <alignment/>
      <protection hidden="1"/>
    </xf>
    <xf numFmtId="0" fontId="0" fillId="0" borderId="0" xfId="99" applyFill="1" applyBorder="1" applyAlignment="1" applyProtection="1">
      <alignment/>
      <protection hidden="1"/>
    </xf>
    <xf numFmtId="0" fontId="134" fillId="0" borderId="16" xfId="99" applyFont="1" applyFill="1" applyBorder="1" applyAlignment="1" applyProtection="1">
      <alignment/>
      <protection hidden="1"/>
    </xf>
    <xf numFmtId="0" fontId="6" fillId="0" borderId="16" xfId="99" applyFont="1" applyBorder="1" applyAlignment="1" applyProtection="1">
      <alignment/>
      <protection locked="0"/>
    </xf>
    <xf numFmtId="173" fontId="10" fillId="0" borderId="0" xfId="113" applyNumberFormat="1" applyFont="1" applyBorder="1" applyAlignment="1" applyProtection="1">
      <alignment/>
      <protection locked="0"/>
    </xf>
    <xf numFmtId="0" fontId="10" fillId="24" borderId="32" xfId="113" applyFont="1" applyFill="1" applyBorder="1" applyAlignment="1" applyProtection="1">
      <alignment/>
      <protection locked="0"/>
    </xf>
    <xf numFmtId="172" fontId="152" fillId="25" borderId="0" xfId="89" applyNumberFormat="1" applyFont="1" applyFill="1" applyAlignment="1">
      <alignment/>
      <protection/>
    </xf>
    <xf numFmtId="172" fontId="130" fillId="0" borderId="0" xfId="99" applyNumberFormat="1" applyFont="1" applyFill="1" applyBorder="1" applyAlignment="1" applyProtection="1">
      <alignment/>
      <protection locked="0"/>
    </xf>
    <xf numFmtId="0" fontId="10" fillId="0" borderId="0" xfId="113" applyFont="1" applyFill="1" applyBorder="1" applyAlignment="1" applyProtection="1">
      <alignment/>
      <protection locked="0"/>
    </xf>
    <xf numFmtId="0" fontId="10" fillId="0" borderId="32" xfId="113" applyFont="1" applyFill="1" applyBorder="1" applyAlignment="1" applyProtection="1">
      <alignment/>
      <protection locked="0"/>
    </xf>
    <xf numFmtId="0" fontId="3" fillId="0" borderId="16" xfId="113" applyBorder="1" applyAlignment="1">
      <alignment/>
      <protection/>
    </xf>
    <xf numFmtId="0" fontId="3" fillId="0" borderId="0" xfId="113" applyAlignment="1" applyProtection="1">
      <alignment/>
      <protection hidden="1"/>
    </xf>
    <xf numFmtId="0" fontId="10" fillId="0" borderId="32" xfId="113" applyFont="1" applyFill="1" applyBorder="1" applyAlignment="1" applyProtection="1">
      <alignment/>
      <protection hidden="1"/>
    </xf>
    <xf numFmtId="1" fontId="10" fillId="0" borderId="0" xfId="113" applyNumberFormat="1" applyFont="1" applyFill="1" applyBorder="1" applyAlignment="1" applyProtection="1">
      <alignment/>
      <protection hidden="1"/>
    </xf>
    <xf numFmtId="0" fontId="10" fillId="0" borderId="0" xfId="113" applyFont="1" applyFill="1" applyBorder="1" applyAlignment="1" applyProtection="1">
      <alignment/>
      <protection hidden="1"/>
    </xf>
    <xf numFmtId="0" fontId="3" fillId="25" borderId="0" xfId="113" applyFill="1" applyBorder="1" applyAlignment="1" applyProtection="1">
      <alignment/>
      <protection hidden="1"/>
    </xf>
    <xf numFmtId="0" fontId="6" fillId="0" borderId="16" xfId="99" applyFont="1" applyFill="1" applyBorder="1" applyAlignment="1" applyProtection="1">
      <alignment/>
      <protection hidden="1"/>
    </xf>
    <xf numFmtId="0" fontId="6" fillId="0" borderId="0" xfId="99" applyFont="1" applyFill="1" applyBorder="1" applyAlignment="1" applyProtection="1">
      <alignment/>
      <protection hidden="1"/>
    </xf>
    <xf numFmtId="0" fontId="130" fillId="0" borderId="18" xfId="99" applyFont="1" applyFill="1" applyBorder="1" applyAlignment="1" applyProtection="1">
      <alignment/>
      <protection hidden="1"/>
    </xf>
    <xf numFmtId="0" fontId="3" fillId="0" borderId="16" xfId="113" applyFill="1" applyBorder="1" applyAlignment="1" applyProtection="1">
      <alignment/>
      <protection hidden="1"/>
    </xf>
    <xf numFmtId="0" fontId="130" fillId="0" borderId="0" xfId="99" applyFont="1" applyFill="1" applyBorder="1" applyAlignment="1" applyProtection="1">
      <alignment/>
      <protection hidden="1"/>
    </xf>
    <xf numFmtId="0" fontId="130" fillId="0" borderId="32" xfId="113" applyFont="1" applyFill="1" applyBorder="1" applyAlignment="1" applyProtection="1">
      <alignment/>
      <protection hidden="1"/>
    </xf>
    <xf numFmtId="0" fontId="6" fillId="0" borderId="16" xfId="99" applyFont="1" applyBorder="1" applyAlignment="1" applyProtection="1">
      <alignment/>
      <protection hidden="1"/>
    </xf>
    <xf numFmtId="0" fontId="6" fillId="29" borderId="0" xfId="99" applyFont="1" applyFill="1" applyBorder="1" applyAlignment="1" applyProtection="1">
      <alignment/>
      <protection locked="0"/>
    </xf>
    <xf numFmtId="0" fontId="130" fillId="24" borderId="0" xfId="99" applyFont="1" applyFill="1" applyBorder="1" applyAlignment="1" applyProtection="1" quotePrefix="1">
      <alignment/>
      <protection locked="0"/>
    </xf>
    <xf numFmtId="9" fontId="6" fillId="4" borderId="15" xfId="99" applyNumberFormat="1" applyFont="1" applyFill="1" applyBorder="1" applyAlignment="1" applyProtection="1">
      <alignment/>
      <protection locked="0"/>
    </xf>
    <xf numFmtId="0" fontId="24" fillId="0" borderId="15" xfId="0" applyFont="1" applyBorder="1" applyAlignment="1" applyProtection="1">
      <alignment/>
      <protection hidden="1"/>
    </xf>
    <xf numFmtId="0" fontId="6" fillId="0" borderId="13" xfId="99" applyFont="1" applyFill="1" applyBorder="1" applyAlignment="1" applyProtection="1">
      <alignment/>
      <protection locked="0"/>
    </xf>
    <xf numFmtId="0" fontId="6" fillId="29" borderId="13" xfId="99" applyFont="1" applyFill="1" applyBorder="1" applyAlignment="1" applyProtection="1">
      <alignment/>
      <protection locked="0"/>
    </xf>
    <xf numFmtId="1" fontId="130" fillId="0" borderId="14" xfId="76" applyNumberFormat="1" applyFont="1" applyFill="1" applyBorder="1" applyAlignment="1" applyProtection="1">
      <alignment/>
      <protection hidden="1"/>
    </xf>
    <xf numFmtId="0" fontId="10" fillId="0" borderId="34" xfId="113" applyFont="1" applyBorder="1" applyAlignment="1" applyProtection="1">
      <alignment/>
      <protection locked="0"/>
    </xf>
    <xf numFmtId="0" fontId="130" fillId="0" borderId="34" xfId="99" applyFont="1" applyBorder="1" applyAlignment="1" applyProtection="1">
      <alignment/>
      <protection locked="0"/>
    </xf>
    <xf numFmtId="0" fontId="10" fillId="0" borderId="35" xfId="113" applyFont="1" applyBorder="1" applyAlignment="1" applyProtection="1">
      <alignment/>
      <protection locked="0"/>
    </xf>
    <xf numFmtId="0" fontId="135" fillId="25" borderId="0" xfId="111" applyFont="1" applyFill="1" applyBorder="1" applyAlignment="1" applyProtection="1">
      <alignment/>
      <protection hidden="1"/>
    </xf>
    <xf numFmtId="1" fontId="6" fillId="25" borderId="0" xfId="99" applyNumberFormat="1" applyFont="1" applyFill="1" applyBorder="1" applyAlignment="1" applyProtection="1">
      <alignment/>
      <protection hidden="1"/>
    </xf>
    <xf numFmtId="172" fontId="130" fillId="25" borderId="0" xfId="99" applyNumberFormat="1" applyFont="1" applyFill="1" applyBorder="1" applyAlignment="1" applyProtection="1">
      <alignment/>
      <protection hidden="1"/>
    </xf>
    <xf numFmtId="1" fontId="130" fillId="25" borderId="36" xfId="99" applyNumberFormat="1" applyFont="1" applyFill="1" applyBorder="1" applyAlignment="1" applyProtection="1">
      <alignment/>
      <protection hidden="1"/>
    </xf>
    <xf numFmtId="0" fontId="3" fillId="25" borderId="0" xfId="113" applyFont="1" applyFill="1" applyAlignment="1" applyProtection="1">
      <alignment/>
      <protection hidden="1"/>
    </xf>
    <xf numFmtId="0" fontId="6" fillId="4" borderId="0" xfId="99" applyFont="1" applyFill="1" applyAlignment="1" applyProtection="1">
      <alignment/>
      <protection locked="0"/>
    </xf>
    <xf numFmtId="1" fontId="6" fillId="25" borderId="0" xfId="76" applyNumberFormat="1" applyFont="1" applyFill="1" applyBorder="1" applyAlignment="1" applyProtection="1">
      <alignment/>
      <protection hidden="1"/>
    </xf>
    <xf numFmtId="0" fontId="6" fillId="0" borderId="0" xfId="99" applyFont="1" applyBorder="1" applyAlignment="1" applyProtection="1">
      <alignment/>
      <protection hidden="1"/>
    </xf>
    <xf numFmtId="2" fontId="6" fillId="25" borderId="0" xfId="76" applyNumberFormat="1" applyFont="1" applyFill="1" applyBorder="1" applyAlignment="1" applyProtection="1">
      <alignment/>
      <protection hidden="1"/>
    </xf>
    <xf numFmtId="0" fontId="30" fillId="25" borderId="0" xfId="113" applyFont="1" applyFill="1" applyAlignment="1" applyProtection="1">
      <alignment/>
      <protection hidden="1"/>
    </xf>
    <xf numFmtId="0" fontId="0" fillId="25" borderId="0" xfId="89" applyFont="1" applyFill="1" applyBorder="1" applyAlignment="1" applyProtection="1">
      <alignment/>
      <protection/>
    </xf>
    <xf numFmtId="0" fontId="0" fillId="25" borderId="0" xfId="89" applyFill="1" applyBorder="1" applyAlignment="1" applyProtection="1">
      <alignment/>
      <protection/>
    </xf>
    <xf numFmtId="0" fontId="6" fillId="22" borderId="0" xfId="97" applyFont="1" applyFill="1" applyBorder="1" applyAlignment="1" applyProtection="1">
      <alignment/>
      <protection/>
    </xf>
    <xf numFmtId="0" fontId="0" fillId="25" borderId="0" xfId="89" applyFont="1" applyFill="1" applyAlignment="1">
      <alignment/>
      <protection/>
    </xf>
    <xf numFmtId="0" fontId="0" fillId="25" borderId="0" xfId="89" applyFill="1" applyBorder="1" applyAlignment="1">
      <alignment/>
      <protection/>
    </xf>
    <xf numFmtId="0" fontId="17" fillId="25" borderId="27" xfId="89" applyFont="1" applyFill="1" applyBorder="1" applyAlignment="1" applyProtection="1">
      <alignment/>
      <protection hidden="1"/>
    </xf>
    <xf numFmtId="0" fontId="10" fillId="0" borderId="27" xfId="89" applyFont="1" applyBorder="1" applyAlignment="1" applyProtection="1">
      <alignment/>
      <protection hidden="1"/>
    </xf>
    <xf numFmtId="0" fontId="5" fillId="0" borderId="27" xfId="89" applyFont="1" applyFill="1" applyBorder="1" applyAlignment="1" applyProtection="1">
      <alignment/>
      <protection hidden="1"/>
    </xf>
    <xf numFmtId="0" fontId="3" fillId="0" borderId="0" xfId="89" applyFont="1" applyBorder="1" applyAlignment="1" applyProtection="1">
      <alignment/>
      <protection/>
    </xf>
    <xf numFmtId="0" fontId="17" fillId="0" borderId="20" xfId="89" applyFont="1" applyBorder="1" applyAlignment="1" applyProtection="1">
      <alignment/>
      <protection hidden="1"/>
    </xf>
    <xf numFmtId="0" fontId="3" fillId="22" borderId="11" xfId="89" applyFont="1" applyFill="1" applyBorder="1" applyAlignment="1" applyProtection="1">
      <alignment/>
      <protection locked="0"/>
    </xf>
    <xf numFmtId="0" fontId="3" fillId="22" borderId="25" xfId="89" applyFont="1" applyFill="1" applyBorder="1" applyAlignment="1" applyProtection="1">
      <alignment/>
      <protection locked="0"/>
    </xf>
    <xf numFmtId="0" fontId="3" fillId="0" borderId="11" xfId="89" applyFont="1" applyBorder="1" applyAlignment="1" applyProtection="1">
      <alignment/>
      <protection locked="0"/>
    </xf>
    <xf numFmtId="0" fontId="3" fillId="0" borderId="26" xfId="89" applyFont="1" applyBorder="1" applyAlignment="1" applyProtection="1">
      <alignment/>
      <protection locked="0"/>
    </xf>
    <xf numFmtId="0" fontId="3" fillId="22" borderId="17" xfId="89" applyFont="1" applyFill="1" applyBorder="1" applyAlignment="1" applyProtection="1">
      <alignment/>
      <protection locked="0"/>
    </xf>
    <xf numFmtId="0" fontId="3" fillId="22" borderId="18" xfId="89" applyFont="1" applyFill="1" applyBorder="1" applyAlignment="1" applyProtection="1">
      <alignment/>
      <protection locked="0"/>
    </xf>
    <xf numFmtId="0" fontId="3" fillId="0" borderId="17" xfId="89" applyFont="1" applyBorder="1" applyAlignment="1" applyProtection="1">
      <alignment/>
      <protection locked="0"/>
    </xf>
    <xf numFmtId="0" fontId="3" fillId="0" borderId="0" xfId="89" applyFont="1" applyBorder="1" applyAlignment="1" applyProtection="1">
      <alignment/>
      <protection locked="0"/>
    </xf>
    <xf numFmtId="0" fontId="3" fillId="0" borderId="0" xfId="89" applyFont="1" applyBorder="1" applyAlignment="1">
      <alignment/>
      <protection/>
    </xf>
    <xf numFmtId="173" fontId="3" fillId="22" borderId="0" xfId="89" applyNumberFormat="1" applyFont="1" applyFill="1" applyBorder="1" applyAlignment="1" applyProtection="1">
      <alignment/>
      <protection locked="0"/>
    </xf>
    <xf numFmtId="0" fontId="9" fillId="22" borderId="19" xfId="89" applyFont="1" applyFill="1" applyBorder="1" applyAlignment="1" applyProtection="1">
      <alignment/>
      <protection locked="0"/>
    </xf>
    <xf numFmtId="0" fontId="9" fillId="22" borderId="11" xfId="89" applyFont="1" applyFill="1" applyBorder="1" applyAlignment="1" applyProtection="1">
      <alignment/>
      <protection locked="0"/>
    </xf>
    <xf numFmtId="0" fontId="3" fillId="22" borderId="0" xfId="84" applyFont="1" applyFill="1" applyBorder="1" applyAlignment="1" applyProtection="1">
      <alignment/>
      <protection locked="0"/>
    </xf>
    <xf numFmtId="172" fontId="3" fillId="0" borderId="17" xfId="89" applyNumberFormat="1" applyFont="1" applyFill="1" applyBorder="1" applyAlignment="1" applyProtection="1">
      <alignment/>
      <protection hidden="1"/>
    </xf>
    <xf numFmtId="0" fontId="3" fillId="0" borderId="13" xfId="111" applyFont="1" applyBorder="1" applyAlignment="1">
      <alignment/>
      <protection/>
    </xf>
    <xf numFmtId="0" fontId="9" fillId="0" borderId="13" xfId="89" applyFont="1" applyBorder="1" applyAlignment="1" applyProtection="1">
      <alignment/>
      <protection hidden="1" locked="0"/>
    </xf>
    <xf numFmtId="0" fontId="11" fillId="0" borderId="13" xfId="89" applyFont="1" applyBorder="1" applyAlignment="1" applyProtection="1">
      <alignment/>
      <protection hidden="1"/>
    </xf>
    <xf numFmtId="0" fontId="0" fillId="0" borderId="14" xfId="89" applyBorder="1" applyAlignment="1" applyProtection="1">
      <alignment/>
      <protection hidden="1"/>
    </xf>
    <xf numFmtId="0" fontId="9" fillId="22" borderId="17" xfId="89" applyFont="1" applyFill="1" applyBorder="1" applyAlignment="1" applyProtection="1">
      <alignment/>
      <protection locked="0"/>
    </xf>
    <xf numFmtId="0" fontId="3" fillId="22" borderId="10" xfId="89" applyFont="1" applyFill="1" applyBorder="1" applyAlignment="1" applyProtection="1">
      <alignment/>
      <protection locked="0"/>
    </xf>
    <xf numFmtId="0" fontId="9" fillId="22" borderId="26" xfId="89" applyFont="1" applyFill="1" applyBorder="1" applyAlignment="1" applyProtection="1">
      <alignment/>
      <protection locked="0"/>
    </xf>
    <xf numFmtId="1" fontId="3" fillId="0" borderId="17" xfId="89" applyNumberFormat="1" applyFont="1" applyBorder="1" applyAlignment="1" applyProtection="1">
      <alignment/>
      <protection hidden="1"/>
    </xf>
    <xf numFmtId="1" fontId="3" fillId="0" borderId="0" xfId="89" applyNumberFormat="1" applyFont="1" applyBorder="1" applyAlignment="1" applyProtection="1">
      <alignment/>
      <protection hidden="1"/>
    </xf>
    <xf numFmtId="0" fontId="3" fillId="25" borderId="0" xfId="89" applyFont="1" applyFill="1" applyBorder="1" applyAlignment="1" applyProtection="1">
      <alignment horizontal="left"/>
      <protection/>
    </xf>
    <xf numFmtId="173" fontId="100" fillId="25" borderId="0" xfId="89" applyNumberFormat="1" applyFont="1" applyFill="1" applyBorder="1" applyAlignment="1" applyProtection="1">
      <alignment/>
      <protection hidden="1"/>
    </xf>
    <xf numFmtId="172" fontId="9" fillId="0" borderId="17" xfId="89" applyNumberFormat="1" applyFont="1" applyBorder="1" applyAlignment="1" applyProtection="1">
      <alignment/>
      <protection hidden="1"/>
    </xf>
    <xf numFmtId="172" fontId="3" fillId="0" borderId="16" xfId="89" applyNumberFormat="1" applyFont="1" applyBorder="1" applyAlignment="1" applyProtection="1">
      <alignment/>
      <protection hidden="1"/>
    </xf>
    <xf numFmtId="172" fontId="3" fillId="0" borderId="17" xfId="89" applyNumberFormat="1" applyFont="1" applyBorder="1" applyAlignment="1" applyProtection="1">
      <alignment/>
      <protection hidden="1"/>
    </xf>
    <xf numFmtId="172" fontId="3" fillId="0" borderId="0" xfId="89" applyNumberFormat="1" applyFont="1" applyBorder="1" applyAlignment="1" applyProtection="1">
      <alignment/>
      <protection hidden="1"/>
    </xf>
    <xf numFmtId="172" fontId="3" fillId="0" borderId="12" xfId="89" applyNumberFormat="1" applyFont="1" applyBorder="1" applyAlignment="1" applyProtection="1">
      <alignment/>
      <protection hidden="1"/>
    </xf>
    <xf numFmtId="172" fontId="3" fillId="0" borderId="15" xfId="89" applyNumberFormat="1" applyFont="1" applyBorder="1" applyAlignment="1" applyProtection="1">
      <alignment/>
      <protection hidden="1"/>
    </xf>
    <xf numFmtId="172" fontId="3" fillId="0" borderId="13" xfId="89" applyNumberFormat="1" applyFont="1" applyBorder="1" applyAlignment="1" applyProtection="1">
      <alignment/>
      <protection hidden="1"/>
    </xf>
    <xf numFmtId="0" fontId="0" fillId="25" borderId="0" xfId="89" applyFont="1" applyFill="1" applyBorder="1" applyAlignment="1">
      <alignment/>
      <protection/>
    </xf>
    <xf numFmtId="0" fontId="107" fillId="25" borderId="0" xfId="89" applyFont="1" applyFill="1" applyAlignment="1" applyProtection="1">
      <alignment/>
      <protection/>
    </xf>
    <xf numFmtId="0" fontId="107" fillId="25" borderId="0" xfId="89" applyFont="1" applyFill="1" applyAlignment="1">
      <alignment/>
      <protection/>
    </xf>
    <xf numFmtId="0" fontId="3" fillId="25" borderId="0" xfId="89" applyFont="1" applyFill="1" applyBorder="1" applyAlignment="1" applyProtection="1">
      <alignment/>
      <protection hidden="1"/>
    </xf>
    <xf numFmtId="0" fontId="18" fillId="25" borderId="0" xfId="65" applyFont="1" applyFill="1" applyAlignment="1" applyProtection="1">
      <alignment/>
      <protection/>
    </xf>
    <xf numFmtId="0" fontId="30" fillId="25" borderId="0" xfId="0" applyFont="1" applyFill="1" applyBorder="1" applyAlignment="1" applyProtection="1">
      <alignment/>
      <protection hidden="1"/>
    </xf>
    <xf numFmtId="0" fontId="3" fillId="25" borderId="0" xfId="87" applyFont="1" applyFill="1" applyBorder="1" applyAlignment="1" applyProtection="1">
      <alignment horizontal="center"/>
      <protection hidden="1"/>
    </xf>
    <xf numFmtId="0" fontId="7" fillId="0" borderId="0" xfId="89" applyFont="1">
      <alignment/>
      <protection/>
    </xf>
    <xf numFmtId="0" fontId="96" fillId="25" borderId="0" xfId="0" applyFont="1" applyFill="1" applyAlignment="1" applyProtection="1">
      <alignment/>
      <protection hidden="1"/>
    </xf>
    <xf numFmtId="0" fontId="43" fillId="25" borderId="0" xfId="0" applyFont="1" applyFill="1" applyAlignment="1" applyProtection="1">
      <alignment/>
      <protection hidden="1"/>
    </xf>
    <xf numFmtId="0" fontId="96" fillId="25" borderId="0" xfId="0" applyFont="1" applyFill="1" applyBorder="1" applyAlignment="1" applyProtection="1">
      <alignment/>
      <protection hidden="1"/>
    </xf>
    <xf numFmtId="0" fontId="188" fillId="25" borderId="25" xfId="0" applyFont="1" applyFill="1" applyBorder="1" applyAlignment="1" applyProtection="1">
      <alignment horizontal="center"/>
      <protection hidden="1"/>
    </xf>
    <xf numFmtId="0" fontId="43" fillId="25" borderId="11" xfId="0" applyFont="1" applyFill="1" applyBorder="1" applyAlignment="1" applyProtection="1">
      <alignment horizontal="center"/>
      <protection hidden="1"/>
    </xf>
    <xf numFmtId="0" fontId="43" fillId="22" borderId="19" xfId="0" applyFont="1" applyFill="1" applyBorder="1" applyAlignment="1" applyProtection="1">
      <alignment horizontal="center"/>
      <protection locked="0"/>
    </xf>
    <xf numFmtId="0" fontId="43" fillId="29" borderId="21" xfId="0" applyFont="1" applyFill="1" applyBorder="1" applyAlignment="1" applyProtection="1">
      <alignment horizontal="center"/>
      <protection locked="0"/>
    </xf>
    <xf numFmtId="1" fontId="43" fillId="0" borderId="12" xfId="0" applyNumberFormat="1" applyFont="1" applyBorder="1" applyAlignment="1" applyProtection="1">
      <alignment horizontal="center"/>
      <protection hidden="1"/>
    </xf>
    <xf numFmtId="1" fontId="43" fillId="0" borderId="14" xfId="0" applyNumberFormat="1" applyFont="1" applyBorder="1" applyAlignment="1" applyProtection="1">
      <alignment horizontal="center"/>
      <protection hidden="1"/>
    </xf>
    <xf numFmtId="0" fontId="3" fillId="25" borderId="0" xfId="0" applyFont="1" applyFill="1" applyAlignment="1">
      <alignment horizontal="right"/>
    </xf>
    <xf numFmtId="0" fontId="2" fillId="0" borderId="0" xfId="65" applyAlignment="1" applyProtection="1">
      <alignment/>
      <protection/>
    </xf>
    <xf numFmtId="0" fontId="3" fillId="0" borderId="11" xfId="0" applyFont="1" applyBorder="1" applyAlignment="1">
      <alignment/>
    </xf>
    <xf numFmtId="0" fontId="3" fillId="25" borderId="17" xfId="92" applyFont="1" applyFill="1" applyBorder="1" applyAlignment="1">
      <alignment horizontal="left"/>
      <protection/>
    </xf>
    <xf numFmtId="0" fontId="3" fillId="25" borderId="12" xfId="92" applyFont="1" applyFill="1" applyBorder="1" applyAlignment="1" applyProtection="1">
      <alignment horizontal="left"/>
      <protection hidden="1"/>
    </xf>
    <xf numFmtId="0" fontId="6" fillId="0" borderId="19" xfId="0" applyFont="1" applyBorder="1" applyAlignment="1">
      <alignment horizontal="center"/>
    </xf>
    <xf numFmtId="0" fontId="6" fillId="25" borderId="12" xfId="96" applyFont="1" applyFill="1" applyBorder="1" applyAlignment="1" applyProtection="1">
      <alignment horizontal="center"/>
      <protection hidden="1"/>
    </xf>
    <xf numFmtId="0" fontId="6" fillId="25" borderId="12" xfId="93" applyFont="1" applyFill="1" applyBorder="1" applyAlignment="1" applyProtection="1">
      <alignment horizontal="center"/>
      <protection hidden="1"/>
    </xf>
    <xf numFmtId="0" fontId="3" fillId="0" borderId="11" xfId="0" applyFont="1" applyBorder="1" applyAlignment="1">
      <alignment horizontal="center"/>
    </xf>
    <xf numFmtId="0" fontId="3" fillId="0" borderId="10" xfId="0" applyFont="1" applyBorder="1" applyAlignment="1">
      <alignment/>
    </xf>
    <xf numFmtId="0" fontId="3" fillId="0" borderId="25" xfId="0" applyFont="1" applyBorder="1" applyAlignment="1">
      <alignment/>
    </xf>
    <xf numFmtId="0" fontId="3" fillId="25" borderId="15" xfId="96" applyFont="1" applyFill="1" applyBorder="1" applyAlignment="1" applyProtection="1">
      <alignment horizontal="center"/>
      <protection hidden="1"/>
    </xf>
    <xf numFmtId="0" fontId="3" fillId="25" borderId="12" xfId="96" applyFont="1" applyFill="1" applyBorder="1" applyAlignment="1" applyProtection="1">
      <alignment horizontal="center"/>
      <protection hidden="1"/>
    </xf>
    <xf numFmtId="0" fontId="3" fillId="25" borderId="14" xfId="96" applyFont="1" applyFill="1" applyBorder="1" applyAlignment="1" applyProtection="1">
      <alignment horizontal="center"/>
      <protection hidden="1"/>
    </xf>
    <xf numFmtId="0" fontId="17" fillId="25" borderId="0" xfId="89" applyFont="1" applyFill="1" applyBorder="1" applyAlignment="1" applyProtection="1">
      <alignment horizontal="right"/>
      <protection hidden="1"/>
    </xf>
    <xf numFmtId="0" fontId="47" fillId="25" borderId="0" xfId="0" applyFont="1" applyFill="1" applyAlignment="1">
      <alignment horizontal="center"/>
    </xf>
    <xf numFmtId="172" fontId="65" fillId="25" borderId="0" xfId="111" applyNumberFormat="1" applyFont="1" applyFill="1" applyBorder="1" applyAlignment="1" applyProtection="1">
      <alignment horizontal="right"/>
      <protection hidden="1"/>
    </xf>
    <xf numFmtId="172" fontId="77" fillId="25" borderId="0" xfId="111" applyNumberFormat="1" applyFont="1" applyFill="1" applyBorder="1" applyAlignment="1" applyProtection="1">
      <alignment horizontal="right"/>
      <protection hidden="1"/>
    </xf>
    <xf numFmtId="172" fontId="109" fillId="25" borderId="0" xfId="111" applyNumberFormat="1" applyFont="1" applyFill="1" applyBorder="1" applyAlignment="1" applyProtection="1">
      <alignment horizontal="right"/>
      <protection hidden="1"/>
    </xf>
    <xf numFmtId="0" fontId="43" fillId="25" borderId="0" xfId="0" applyFont="1" applyFill="1" applyBorder="1" applyAlignment="1" applyProtection="1">
      <alignment/>
      <protection hidden="1"/>
    </xf>
    <xf numFmtId="0" fontId="3" fillId="25" borderId="11" xfId="89" applyFont="1" applyFill="1" applyBorder="1">
      <alignment/>
      <protection/>
    </xf>
    <xf numFmtId="0" fontId="3" fillId="25" borderId="17" xfId="89" applyFont="1" applyFill="1" applyBorder="1">
      <alignment/>
      <protection/>
    </xf>
    <xf numFmtId="0" fontId="3" fillId="25" borderId="17" xfId="0" applyFont="1" applyFill="1" applyBorder="1" applyAlignment="1" applyProtection="1">
      <alignment/>
      <protection hidden="1"/>
    </xf>
    <xf numFmtId="0" fontId="3" fillId="25" borderId="17" xfId="111" applyFont="1" applyFill="1" applyBorder="1">
      <alignment/>
      <protection/>
    </xf>
    <xf numFmtId="0" fontId="3" fillId="25" borderId="17" xfId="0" applyFont="1" applyFill="1" applyBorder="1" applyAlignment="1">
      <alignment/>
    </xf>
    <xf numFmtId="0" fontId="3" fillId="25" borderId="12" xfId="0" applyFont="1" applyFill="1" applyBorder="1" applyAlignment="1" applyProtection="1">
      <alignment/>
      <protection hidden="1"/>
    </xf>
    <xf numFmtId="0" fontId="188" fillId="0" borderId="11" xfId="0" applyFont="1" applyBorder="1" applyAlignment="1" applyProtection="1">
      <alignment horizontal="center"/>
      <protection hidden="1"/>
    </xf>
    <xf numFmtId="0" fontId="9" fillId="22" borderId="12" xfId="0" applyFont="1" applyFill="1" applyBorder="1" applyAlignment="1" applyProtection="1">
      <alignment horizontal="center"/>
      <protection locked="0"/>
    </xf>
    <xf numFmtId="0" fontId="9" fillId="29" borderId="14" xfId="0" applyFont="1" applyFill="1" applyBorder="1" applyAlignment="1" applyProtection="1">
      <alignment horizontal="center"/>
      <protection locked="0"/>
    </xf>
    <xf numFmtId="9" fontId="137" fillId="4" borderId="16" xfId="99" applyNumberFormat="1" applyFont="1" applyFill="1" applyBorder="1" applyAlignment="1" applyProtection="1">
      <alignment horizontal="right"/>
      <protection locked="0"/>
    </xf>
    <xf numFmtId="9" fontId="137" fillId="4" borderId="16" xfId="99" applyNumberFormat="1" applyFont="1" applyFill="1" applyBorder="1" applyAlignment="1" applyProtection="1">
      <alignment/>
      <protection locked="0"/>
    </xf>
    <xf numFmtId="49" fontId="30" fillId="26" borderId="18" xfId="84" applyNumberFormat="1" applyFont="1" applyFill="1" applyBorder="1" applyAlignment="1" applyProtection="1">
      <alignment/>
      <protection/>
    </xf>
    <xf numFmtId="0" fontId="9" fillId="0" borderId="18" xfId="89" applyFont="1" applyFill="1" applyBorder="1" applyAlignment="1" applyProtection="1">
      <alignment/>
      <protection hidden="1"/>
    </xf>
    <xf numFmtId="0" fontId="3" fillId="25" borderId="0" xfId="111" applyFont="1" applyFill="1" applyBorder="1" applyAlignment="1" applyProtection="1">
      <alignment horizontal="left"/>
      <protection hidden="1"/>
    </xf>
    <xf numFmtId="0" fontId="16" fillId="25" borderId="0" xfId="89" applyFont="1" applyFill="1" applyBorder="1" applyAlignment="1" applyProtection="1">
      <alignment horizontal="center"/>
      <protection hidden="1"/>
    </xf>
    <xf numFmtId="0" fontId="3" fillId="25" borderId="13" xfId="111" applyFill="1" applyBorder="1">
      <alignment/>
      <protection/>
    </xf>
    <xf numFmtId="0" fontId="3" fillId="25" borderId="14" xfId="111" applyFill="1" applyBorder="1">
      <alignment/>
      <protection/>
    </xf>
    <xf numFmtId="0" fontId="18" fillId="25" borderId="0" xfId="65" applyFont="1" applyFill="1" applyBorder="1" applyAlignment="1" applyProtection="1">
      <alignment horizontal="right"/>
      <protection hidden="1"/>
    </xf>
    <xf numFmtId="49" fontId="30" fillId="25" borderId="0" xfId="84" applyNumberFormat="1" applyFont="1" applyFill="1" applyBorder="1" applyAlignment="1" applyProtection="1">
      <alignment vertical="center"/>
      <protection/>
    </xf>
    <xf numFmtId="0" fontId="30" fillId="25" borderId="0" xfId="84" applyFont="1" applyFill="1" applyBorder="1" applyAlignment="1" applyProtection="1">
      <alignment vertical="center"/>
      <protection/>
    </xf>
    <xf numFmtId="0" fontId="3" fillId="25" borderId="0" xfId="84" applyFont="1" applyFill="1" applyBorder="1" applyAlignment="1" applyProtection="1">
      <alignment vertical="center"/>
      <protection/>
    </xf>
    <xf numFmtId="0" fontId="3" fillId="25" borderId="0" xfId="111" applyFill="1" applyBorder="1">
      <alignment/>
      <protection/>
    </xf>
    <xf numFmtId="0" fontId="3" fillId="0" borderId="0" xfId="111" applyBorder="1">
      <alignment/>
      <protection/>
    </xf>
    <xf numFmtId="173" fontId="5" fillId="0" borderId="0" xfId="89" applyNumberFormat="1" applyFont="1" applyBorder="1" applyAlignment="1">
      <alignment horizontal="right"/>
      <protection/>
    </xf>
    <xf numFmtId="1" fontId="5" fillId="0" borderId="0" xfId="89" applyNumberFormat="1" applyFont="1" applyBorder="1" applyAlignment="1" applyProtection="1">
      <alignment horizontal="right"/>
      <protection hidden="1"/>
    </xf>
    <xf numFmtId="172" fontId="10" fillId="0" borderId="10" xfId="89" applyNumberFormat="1" applyFont="1" applyBorder="1" applyAlignment="1" applyProtection="1">
      <alignment/>
      <protection hidden="1"/>
    </xf>
    <xf numFmtId="172" fontId="10" fillId="0" borderId="25" xfId="89" applyNumberFormat="1" applyFont="1" applyBorder="1" applyAlignment="1" applyProtection="1">
      <alignment/>
      <protection hidden="1"/>
    </xf>
    <xf numFmtId="172" fontId="10" fillId="0" borderId="16" xfId="89" applyNumberFormat="1" applyFont="1" applyBorder="1" applyAlignment="1" applyProtection="1">
      <alignment/>
      <protection hidden="1"/>
    </xf>
    <xf numFmtId="172" fontId="10" fillId="0" borderId="18" xfId="89" applyNumberFormat="1" applyFont="1" applyBorder="1" applyAlignment="1" applyProtection="1">
      <alignment/>
      <protection hidden="1"/>
    </xf>
    <xf numFmtId="0" fontId="41" fillId="0" borderId="16" xfId="0" applyFont="1" applyFill="1" applyBorder="1" applyAlignment="1">
      <alignment/>
    </xf>
    <xf numFmtId="172" fontId="41" fillId="0" borderId="18" xfId="89" applyNumberFormat="1" applyFont="1" applyFill="1" applyBorder="1" applyAlignment="1" applyProtection="1">
      <alignment/>
      <protection hidden="1"/>
    </xf>
    <xf numFmtId="172" fontId="10" fillId="0" borderId="16" xfId="89" applyNumberFormat="1" applyFont="1" applyFill="1" applyBorder="1" applyAlignment="1" applyProtection="1">
      <alignment/>
      <protection hidden="1"/>
    </xf>
    <xf numFmtId="172" fontId="10" fillId="0" borderId="18" xfId="89" applyNumberFormat="1" applyFont="1" applyFill="1" applyBorder="1" applyAlignment="1" applyProtection="1">
      <alignment/>
      <protection hidden="1"/>
    </xf>
    <xf numFmtId="0" fontId="0" fillId="0" borderId="18" xfId="89" applyBorder="1">
      <alignment/>
      <protection/>
    </xf>
    <xf numFmtId="9" fontId="42" fillId="0" borderId="16" xfId="89" applyNumberFormat="1" applyFont="1" applyFill="1" applyBorder="1" applyAlignment="1" applyProtection="1">
      <alignment/>
      <protection hidden="1"/>
    </xf>
    <xf numFmtId="9" fontId="42" fillId="0" borderId="18" xfId="89" applyNumberFormat="1" applyFont="1" applyFill="1" applyBorder="1" applyAlignment="1" applyProtection="1">
      <alignment/>
      <protection hidden="1"/>
    </xf>
    <xf numFmtId="0" fontId="42" fillId="0" borderId="16" xfId="89" applyFont="1" applyFill="1" applyBorder="1" applyAlignment="1" applyProtection="1">
      <alignment horizontal="right"/>
      <protection hidden="1"/>
    </xf>
    <xf numFmtId="0" fontId="0" fillId="0" borderId="15" xfId="89" applyBorder="1" applyAlignment="1" applyProtection="1">
      <alignment/>
      <protection hidden="1"/>
    </xf>
    <xf numFmtId="0" fontId="10" fillId="0" borderId="0" xfId="111" applyFont="1" applyFill="1" applyBorder="1" applyAlignment="1">
      <alignment horizontal="center"/>
      <protection/>
    </xf>
    <xf numFmtId="172" fontId="10" fillId="0" borderId="0" xfId="89" applyNumberFormat="1" applyFont="1" applyFill="1" applyBorder="1" applyAlignment="1" applyProtection="1">
      <alignment horizontal="right"/>
      <protection hidden="1"/>
    </xf>
    <xf numFmtId="172" fontId="10" fillId="0" borderId="0" xfId="89" applyNumberFormat="1" applyFont="1" applyBorder="1" applyAlignment="1" applyProtection="1">
      <alignment horizontal="right"/>
      <protection hidden="1"/>
    </xf>
    <xf numFmtId="49" fontId="30" fillId="26" borderId="0" xfId="84" applyNumberFormat="1" applyFont="1" applyFill="1" applyBorder="1" applyAlignment="1" applyProtection="1">
      <alignment/>
      <protection/>
    </xf>
    <xf numFmtId="172" fontId="65" fillId="0" borderId="0" xfId="89" applyNumberFormat="1" applyFont="1" applyBorder="1" applyAlignment="1" applyProtection="1">
      <alignment horizontal="right"/>
      <protection hidden="1"/>
    </xf>
    <xf numFmtId="0" fontId="43" fillId="22" borderId="0" xfId="80" applyFont="1" applyFill="1" applyBorder="1" applyAlignment="1" applyProtection="1">
      <alignment/>
      <protection locked="0"/>
    </xf>
    <xf numFmtId="0" fontId="3" fillId="22" borderId="0" xfId="111" applyFont="1" applyFill="1" applyBorder="1" applyAlignment="1" applyProtection="1">
      <alignment/>
      <protection locked="0"/>
    </xf>
    <xf numFmtId="172" fontId="13" fillId="0" borderId="19" xfId="84" applyNumberFormat="1" applyFont="1" applyBorder="1" applyAlignment="1" applyProtection="1">
      <alignment/>
      <protection hidden="1"/>
    </xf>
    <xf numFmtId="0" fontId="43" fillId="0" borderId="0" xfId="80" applyFont="1" applyBorder="1" applyAlignment="1">
      <alignment/>
      <protection/>
    </xf>
    <xf numFmtId="0" fontId="3" fillId="0" borderId="0" xfId="111" applyFont="1" applyBorder="1" applyAlignment="1">
      <alignment/>
      <protection/>
    </xf>
    <xf numFmtId="49" fontId="65" fillId="26" borderId="0" xfId="84" applyNumberFormat="1" applyFont="1" applyFill="1" applyBorder="1" applyAlignment="1" applyProtection="1">
      <alignment/>
      <protection/>
    </xf>
    <xf numFmtId="172" fontId="10" fillId="0" borderId="18" xfId="89" applyNumberFormat="1" applyFont="1" applyBorder="1" applyAlignment="1" applyProtection="1">
      <alignment/>
      <protection hidden="1"/>
    </xf>
    <xf numFmtId="49" fontId="30" fillId="26" borderId="16" xfId="84" applyNumberFormat="1" applyFont="1" applyFill="1" applyBorder="1" applyAlignment="1" applyProtection="1">
      <alignment/>
      <protection/>
    </xf>
    <xf numFmtId="0" fontId="3" fillId="0" borderId="18" xfId="111" applyBorder="1">
      <alignment/>
      <protection/>
    </xf>
    <xf numFmtId="172" fontId="65" fillId="26" borderId="18" xfId="89" applyNumberFormat="1" applyFont="1" applyFill="1" applyBorder="1" applyAlignment="1" applyProtection="1">
      <alignment/>
      <protection hidden="1"/>
    </xf>
    <xf numFmtId="172" fontId="12" fillId="0" borderId="0" xfId="95" applyNumberFormat="1" applyFont="1" applyBorder="1" applyAlignment="1" applyProtection="1">
      <alignment/>
      <protection hidden="1"/>
    </xf>
    <xf numFmtId="2" fontId="10" fillId="25" borderId="18" xfId="84" applyNumberFormat="1" applyFont="1" applyFill="1" applyBorder="1" applyAlignment="1" applyProtection="1">
      <alignment horizontal="center"/>
      <protection/>
    </xf>
    <xf numFmtId="0" fontId="10" fillId="0" borderId="18" xfId="89" applyFont="1" applyFill="1" applyBorder="1" applyAlignment="1" applyProtection="1">
      <alignment horizontal="center"/>
      <protection hidden="1"/>
    </xf>
    <xf numFmtId="0" fontId="190" fillId="4" borderId="0" xfId="99" applyFont="1" applyFill="1" applyBorder="1" applyProtection="1">
      <alignment/>
      <protection locked="0"/>
    </xf>
    <xf numFmtId="0" fontId="190" fillId="0" borderId="0" xfId="99" applyFont="1" applyBorder="1" applyAlignment="1">
      <alignment horizontal="right"/>
      <protection/>
    </xf>
    <xf numFmtId="0" fontId="3" fillId="25" borderId="10" xfId="89" applyFont="1" applyFill="1" applyBorder="1" applyProtection="1">
      <alignment/>
      <protection locked="0"/>
    </xf>
    <xf numFmtId="0" fontId="3" fillId="25" borderId="16" xfId="89" applyFont="1" applyFill="1" applyBorder="1" applyProtection="1">
      <alignment/>
      <protection locked="0"/>
    </xf>
    <xf numFmtId="0" fontId="7" fillId="25" borderId="0" xfId="89" applyFont="1" applyFill="1" applyBorder="1" applyAlignment="1" applyProtection="1">
      <alignment horizontal="center"/>
      <protection hidden="1"/>
    </xf>
    <xf numFmtId="0" fontId="37" fillId="25" borderId="25" xfId="89" applyFont="1" applyFill="1" applyBorder="1" applyAlignment="1" applyProtection="1">
      <alignment horizontal="center"/>
      <protection hidden="1"/>
    </xf>
    <xf numFmtId="0" fontId="38" fillId="25" borderId="14" xfId="89" applyFont="1" applyFill="1" applyBorder="1" applyAlignment="1" applyProtection="1">
      <alignment horizontal="center"/>
      <protection hidden="1"/>
    </xf>
    <xf numFmtId="1" fontId="3" fillId="22" borderId="18" xfId="89" applyNumberFormat="1" applyFont="1" applyFill="1" applyBorder="1" applyProtection="1">
      <alignment/>
      <protection locked="0"/>
    </xf>
    <xf numFmtId="0" fontId="3" fillId="22" borderId="13" xfId="89" applyFont="1" applyFill="1" applyBorder="1" applyProtection="1">
      <alignment/>
      <protection/>
    </xf>
    <xf numFmtId="1" fontId="3" fillId="22" borderId="13" xfId="89" applyNumberFormat="1" applyFont="1" applyFill="1" applyBorder="1" applyProtection="1">
      <alignment/>
      <protection locked="0"/>
    </xf>
    <xf numFmtId="0" fontId="3" fillId="22" borderId="13" xfId="89" applyFont="1" applyFill="1" applyBorder="1" applyProtection="1">
      <alignment/>
      <protection locked="0"/>
    </xf>
    <xf numFmtId="1" fontId="3" fillId="22" borderId="13" xfId="89" applyNumberFormat="1" applyFont="1" applyFill="1" applyBorder="1" applyProtection="1">
      <alignment/>
      <protection locked="0"/>
    </xf>
    <xf numFmtId="1" fontId="3" fillId="22" borderId="14" xfId="89" applyNumberFormat="1" applyFont="1" applyFill="1" applyBorder="1" applyProtection="1">
      <alignment/>
      <protection locked="0"/>
    </xf>
    <xf numFmtId="0" fontId="44" fillId="0" borderId="0" xfId="89" applyFont="1" applyFill="1" applyBorder="1" applyAlignment="1" applyProtection="1">
      <alignment horizontal="left"/>
      <protection hidden="1" locked="0"/>
    </xf>
    <xf numFmtId="0" fontId="97" fillId="25" borderId="0" xfId="89" applyFont="1" applyFill="1" applyAlignment="1">
      <alignment horizontal="center" wrapText="1"/>
      <protection/>
    </xf>
    <xf numFmtId="0" fontId="128" fillId="25" borderId="0" xfId="99" applyFont="1" applyFill="1" applyAlignment="1" applyProtection="1">
      <alignment horizontal="center"/>
      <protection hidden="1"/>
    </xf>
    <xf numFmtId="0" fontId="191" fillId="25" borderId="0" xfId="89" applyFont="1" applyFill="1" applyProtection="1">
      <alignment/>
      <protection hidden="1"/>
    </xf>
    <xf numFmtId="0" fontId="31" fillId="25" borderId="0" xfId="89" applyFont="1" applyFill="1" applyBorder="1" applyAlignment="1" applyProtection="1">
      <alignment horizontal="left"/>
      <protection hidden="1"/>
    </xf>
    <xf numFmtId="2" fontId="3" fillId="0" borderId="0" xfId="89" applyNumberFormat="1" applyFont="1" applyBorder="1" applyAlignment="1" applyProtection="1">
      <alignment horizontal="right"/>
      <protection hidden="1"/>
    </xf>
    <xf numFmtId="0" fontId="3" fillId="0" borderId="0" xfId="89" applyFont="1" applyFill="1" applyBorder="1" applyProtection="1">
      <alignment/>
      <protection hidden="1"/>
    </xf>
    <xf numFmtId="173" fontId="5" fillId="0" borderId="0" xfId="89" applyNumberFormat="1"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Border="1" applyAlignment="1" applyProtection="1">
      <alignment/>
      <protection hidden="1"/>
    </xf>
    <xf numFmtId="0" fontId="8" fillId="0" borderId="18" xfId="0" applyFont="1" applyBorder="1" applyAlignment="1" applyProtection="1">
      <alignment/>
      <protection hidden="1"/>
    </xf>
    <xf numFmtId="49" fontId="3" fillId="22" borderId="0" xfId="0" applyNumberFormat="1" applyFont="1" applyFill="1" applyBorder="1" applyAlignment="1" applyProtection="1">
      <alignment horizontal="right"/>
      <protection locked="0"/>
    </xf>
    <xf numFmtId="49" fontId="3" fillId="0" borderId="0" xfId="111" applyNumberFormat="1" applyBorder="1" applyAlignment="1">
      <alignment horizontal="right"/>
      <protection/>
    </xf>
    <xf numFmtId="49" fontId="3" fillId="0" borderId="0" xfId="0" applyNumberFormat="1" applyFont="1" applyFill="1" applyBorder="1" applyAlignment="1">
      <alignment horizontal="right"/>
    </xf>
    <xf numFmtId="49" fontId="30" fillId="26" borderId="0" xfId="84" applyNumberFormat="1" applyFont="1" applyFill="1" applyBorder="1" applyAlignment="1" applyProtection="1">
      <alignment horizontal="right"/>
      <protection/>
    </xf>
    <xf numFmtId="49" fontId="30" fillId="0" borderId="0" xfId="84" applyNumberFormat="1" applyFont="1" applyFill="1" applyBorder="1" applyAlignment="1" applyProtection="1">
      <alignment horizontal="right"/>
      <protection/>
    </xf>
    <xf numFmtId="0" fontId="3" fillId="0" borderId="0" xfId="111" applyFill="1" applyBorder="1" applyAlignment="1">
      <alignment horizontal="right"/>
      <protection/>
    </xf>
    <xf numFmtId="0" fontId="3" fillId="0" borderId="0" xfId="0" applyFont="1" applyFill="1" applyBorder="1" applyAlignment="1">
      <alignment horizontal="right"/>
    </xf>
    <xf numFmtId="0" fontId="3" fillId="22" borderId="0" xfId="0" applyFont="1" applyFill="1" applyBorder="1" applyAlignment="1" applyProtection="1">
      <alignment horizontal="right"/>
      <protection locked="0"/>
    </xf>
    <xf numFmtId="0" fontId="65" fillId="26" borderId="0" xfId="0" applyFont="1" applyFill="1" applyBorder="1" applyAlignment="1" applyProtection="1">
      <alignment horizontal="right"/>
      <protection locked="0"/>
    </xf>
    <xf numFmtId="0" fontId="3" fillId="22" borderId="19" xfId="0" applyFont="1" applyFill="1" applyBorder="1" applyAlignment="1" applyProtection="1">
      <alignment/>
      <protection locked="0"/>
    </xf>
    <xf numFmtId="2" fontId="6" fillId="25" borderId="0" xfId="0" applyNumberFormat="1" applyFont="1" applyFill="1" applyAlignment="1" applyProtection="1">
      <alignment/>
      <protection hidden="1"/>
    </xf>
    <xf numFmtId="2" fontId="6" fillId="0" borderId="0" xfId="0" applyNumberFormat="1" applyFont="1" applyAlignment="1" applyProtection="1">
      <alignment readingOrder="1"/>
      <protection hidden="1"/>
    </xf>
    <xf numFmtId="0" fontId="3" fillId="0" borderId="0" xfId="113" applyBorder="1" applyAlignment="1" applyProtection="1">
      <alignment horizontal="center"/>
      <protection hidden="1"/>
    </xf>
    <xf numFmtId="0" fontId="3" fillId="0" borderId="34" xfId="113" applyBorder="1" applyAlignment="1" applyProtection="1">
      <alignment horizontal="center"/>
      <protection hidden="1"/>
    </xf>
    <xf numFmtId="2" fontId="3" fillId="25" borderId="20" xfId="84" applyNumberFormat="1" applyFont="1" applyFill="1" applyBorder="1" applyAlignment="1" applyProtection="1">
      <alignment horizontal="left"/>
      <protection hidden="1"/>
    </xf>
    <xf numFmtId="2" fontId="3" fillId="25" borderId="27" xfId="84" applyNumberFormat="1" applyFont="1" applyFill="1" applyBorder="1" applyAlignment="1" applyProtection="1">
      <alignment horizontal="left"/>
      <protection hidden="1"/>
    </xf>
    <xf numFmtId="0" fontId="97" fillId="25" borderId="0" xfId="93" applyFont="1" applyFill="1" applyAlignment="1" applyProtection="1">
      <alignment horizontal="center"/>
      <protection hidden="1"/>
    </xf>
    <xf numFmtId="0" fontId="164" fillId="25" borderId="0" xfId="93" applyFont="1" applyFill="1" applyAlignment="1" applyProtection="1">
      <alignment horizontal="centerContinuous"/>
      <protection hidden="1"/>
    </xf>
    <xf numFmtId="0" fontId="164" fillId="25" borderId="0" xfId="93" applyFont="1" applyFill="1" applyProtection="1">
      <alignment/>
      <protection hidden="1"/>
    </xf>
    <xf numFmtId="0" fontId="5" fillId="25" borderId="0" xfId="93" applyFont="1" applyFill="1" applyAlignment="1" applyProtection="1">
      <alignment horizontal="right"/>
      <protection hidden="1"/>
    </xf>
    <xf numFmtId="49" fontId="164" fillId="25" borderId="0" xfId="93" applyNumberFormat="1" applyFont="1" applyFill="1" applyAlignment="1" applyProtection="1">
      <alignment horizontal="centerContinuous"/>
      <protection hidden="1"/>
    </xf>
    <xf numFmtId="0" fontId="0" fillId="25" borderId="0" xfId="93" applyFill="1" applyProtection="1">
      <alignment/>
      <protection hidden="1"/>
    </xf>
    <xf numFmtId="49" fontId="0" fillId="25" borderId="0" xfId="93" applyNumberFormat="1" applyFill="1" applyProtection="1">
      <alignment/>
      <protection hidden="1"/>
    </xf>
    <xf numFmtId="0" fontId="28" fillId="25" borderId="0" xfId="93" applyFont="1" applyFill="1" applyProtection="1">
      <alignment/>
      <protection hidden="1"/>
    </xf>
    <xf numFmtId="0" fontId="28" fillId="25" borderId="0" xfId="93" applyFont="1" applyFill="1" applyAlignment="1" applyProtection="1">
      <alignment horizontal="center"/>
      <protection hidden="1"/>
    </xf>
    <xf numFmtId="49" fontId="28" fillId="25" borderId="0" xfId="93" applyNumberFormat="1" applyFont="1" applyFill="1" applyAlignment="1" applyProtection="1">
      <alignment horizontal="center"/>
      <protection hidden="1"/>
    </xf>
    <xf numFmtId="49" fontId="28" fillId="25" borderId="0" xfId="93" applyNumberFormat="1" applyFont="1" applyFill="1" applyAlignment="1" applyProtection="1">
      <alignment horizontal="centerContinuous"/>
      <protection hidden="1"/>
    </xf>
    <xf numFmtId="0" fontId="165" fillId="25" borderId="18" xfId="93" applyFont="1" applyFill="1" applyBorder="1" applyProtection="1">
      <alignment/>
      <protection hidden="1"/>
    </xf>
    <xf numFmtId="49" fontId="164" fillId="25" borderId="0" xfId="93" applyNumberFormat="1" applyFont="1" applyFill="1" applyProtection="1">
      <alignment/>
      <protection hidden="1"/>
    </xf>
    <xf numFmtId="0" fontId="166" fillId="25" borderId="16" xfId="93" applyFont="1" applyFill="1" applyBorder="1" applyProtection="1">
      <alignment/>
      <protection hidden="1"/>
    </xf>
    <xf numFmtId="0" fontId="166" fillId="25" borderId="0" xfId="93" applyFont="1" applyFill="1" applyBorder="1" applyProtection="1">
      <alignment/>
      <protection hidden="1"/>
    </xf>
    <xf numFmtId="0" fontId="166" fillId="25" borderId="18" xfId="93" applyFont="1" applyFill="1" applyBorder="1" applyProtection="1">
      <alignment/>
      <protection hidden="1"/>
    </xf>
    <xf numFmtId="0" fontId="168" fillId="25" borderId="0" xfId="93" applyFont="1" applyFill="1" applyProtection="1">
      <alignment/>
      <protection hidden="1"/>
    </xf>
    <xf numFmtId="49" fontId="168" fillId="25" borderId="0" xfId="93" applyNumberFormat="1" applyFont="1" applyFill="1" applyProtection="1">
      <alignment/>
      <protection hidden="1"/>
    </xf>
    <xf numFmtId="0" fontId="3" fillId="25" borderId="0" xfId="110" applyFill="1" applyProtection="1">
      <alignment/>
      <protection hidden="1"/>
    </xf>
    <xf numFmtId="0" fontId="168" fillId="25" borderId="0" xfId="90" applyFont="1" applyFill="1" applyProtection="1">
      <alignment/>
      <protection hidden="1"/>
    </xf>
    <xf numFmtId="0" fontId="168" fillId="25" borderId="0" xfId="90" applyFont="1" applyFill="1" applyBorder="1" applyProtection="1">
      <alignment/>
      <protection hidden="1"/>
    </xf>
    <xf numFmtId="0" fontId="0" fillId="0" borderId="0" xfId="93" applyProtection="1">
      <alignment/>
      <protection hidden="1"/>
    </xf>
    <xf numFmtId="49" fontId="0" fillId="0" borderId="0" xfId="93" applyNumberFormat="1" applyProtection="1">
      <alignment/>
      <protection hidden="1"/>
    </xf>
    <xf numFmtId="0" fontId="3" fillId="0" borderId="0" xfId="110" applyProtection="1">
      <alignment/>
      <protection hidden="1"/>
    </xf>
    <xf numFmtId="0" fontId="17" fillId="25" borderId="18" xfId="95" applyFont="1" applyFill="1" applyBorder="1" applyAlignment="1" applyProtection="1">
      <alignment horizontal="right"/>
      <protection hidden="1"/>
    </xf>
    <xf numFmtId="0" fontId="17" fillId="25" borderId="0" xfId="95" applyFont="1" applyFill="1" applyBorder="1" applyAlignment="1" applyProtection="1">
      <alignment horizontal="right"/>
      <protection hidden="1"/>
    </xf>
    <xf numFmtId="0" fontId="0" fillId="0" borderId="0" xfId="79" applyNumberFormat="1" applyFont="1" applyFill="1" applyBorder="1" applyAlignment="1" applyProtection="1">
      <alignment/>
      <protection/>
    </xf>
    <xf numFmtId="173" fontId="0" fillId="0" borderId="0" xfId="79" applyNumberFormat="1" applyFont="1" applyFill="1" applyBorder="1" applyAlignment="1" applyProtection="1">
      <alignment horizontal="right"/>
      <protection/>
    </xf>
    <xf numFmtId="0" fontId="3" fillId="22" borderId="0" xfId="89" applyFont="1" applyFill="1" applyAlignment="1" applyProtection="1">
      <alignment/>
      <protection locked="0"/>
    </xf>
    <xf numFmtId="0" fontId="3" fillId="22" borderId="19" xfId="89" applyFont="1" applyFill="1" applyBorder="1" applyAlignment="1" applyProtection="1">
      <alignment/>
      <protection locked="0"/>
    </xf>
    <xf numFmtId="0" fontId="9" fillId="25" borderId="26" xfId="89" applyFont="1" applyFill="1" applyBorder="1" applyAlignment="1" applyProtection="1">
      <alignment horizontal="right"/>
      <protection hidden="1"/>
    </xf>
    <xf numFmtId="0" fontId="3" fillId="25" borderId="25" xfId="89" applyFont="1" applyFill="1" applyBorder="1" applyAlignment="1" applyProtection="1">
      <alignment/>
      <protection hidden="1"/>
    </xf>
    <xf numFmtId="0" fontId="3" fillId="22" borderId="19" xfId="89" applyFont="1" applyFill="1" applyBorder="1" applyAlignment="1" applyProtection="1">
      <alignment/>
      <protection locked="0"/>
    </xf>
    <xf numFmtId="0" fontId="9" fillId="25" borderId="20" xfId="89" applyFont="1" applyFill="1" applyBorder="1" applyAlignment="1" applyProtection="1">
      <alignment horizontal="right"/>
      <protection hidden="1"/>
    </xf>
    <xf numFmtId="0" fontId="3" fillId="25" borderId="21" xfId="89" applyFont="1" applyFill="1" applyBorder="1" applyAlignment="1" applyProtection="1">
      <alignment/>
      <protection hidden="1"/>
    </xf>
    <xf numFmtId="0" fontId="9" fillId="25" borderId="13" xfId="89" applyFont="1" applyFill="1" applyBorder="1" applyAlignment="1" applyProtection="1">
      <alignment horizontal="right"/>
      <protection hidden="1"/>
    </xf>
    <xf numFmtId="0" fontId="3" fillId="25" borderId="14" xfId="89" applyFont="1" applyFill="1" applyBorder="1" applyAlignment="1" applyProtection="1">
      <alignment/>
      <protection hidden="1"/>
    </xf>
    <xf numFmtId="0" fontId="3" fillId="0" borderId="17" xfId="0" applyFont="1" applyBorder="1" applyAlignment="1">
      <alignment/>
    </xf>
    <xf numFmtId="0" fontId="9" fillId="25" borderId="0" xfId="0" applyFont="1" applyFill="1" applyAlignment="1" applyProtection="1">
      <alignment horizontal="center"/>
      <protection hidden="1"/>
    </xf>
    <xf numFmtId="0" fontId="3" fillId="25" borderId="12" xfId="0" applyFont="1" applyFill="1" applyBorder="1" applyAlignment="1" applyProtection="1">
      <alignment/>
      <protection hidden="1"/>
    </xf>
    <xf numFmtId="0" fontId="3" fillId="25" borderId="12" xfId="89" applyFont="1" applyFill="1" applyBorder="1" applyAlignment="1" applyProtection="1">
      <alignment/>
      <protection hidden="1"/>
    </xf>
    <xf numFmtId="0" fontId="3" fillId="25" borderId="16" xfId="0" applyFont="1" applyFill="1" applyBorder="1" applyAlignment="1" applyProtection="1">
      <alignment wrapText="1"/>
      <protection hidden="1"/>
    </xf>
    <xf numFmtId="0" fontId="3" fillId="25" borderId="0" xfId="0" applyFont="1" applyFill="1" applyBorder="1" applyAlignment="1" applyProtection="1">
      <alignment wrapText="1"/>
      <protection hidden="1"/>
    </xf>
    <xf numFmtId="172" fontId="3" fillId="0" borderId="19" xfId="0" applyNumberFormat="1" applyFont="1" applyBorder="1" applyAlignment="1" applyProtection="1">
      <alignment horizontal="center"/>
      <protection hidden="1"/>
    </xf>
    <xf numFmtId="0" fontId="43" fillId="30" borderId="20" xfId="87" applyFill="1" applyBorder="1" applyAlignment="1" applyProtection="1">
      <alignment horizontal="center"/>
      <protection locked="0"/>
    </xf>
    <xf numFmtId="0" fontId="9" fillId="0" borderId="19" xfId="87" applyFont="1" applyBorder="1" applyAlignment="1">
      <alignment horizontal="center"/>
      <protection/>
    </xf>
    <xf numFmtId="0" fontId="3" fillId="0" borderId="20" xfId="89" applyFont="1" applyBorder="1" applyAlignment="1" applyProtection="1">
      <alignment horizontal="center"/>
      <protection hidden="1"/>
    </xf>
    <xf numFmtId="0" fontId="3" fillId="0" borderId="44" xfId="89" applyFont="1" applyBorder="1" applyAlignment="1" applyProtection="1">
      <alignment horizontal="center"/>
      <protection hidden="1"/>
    </xf>
    <xf numFmtId="0" fontId="3" fillId="22" borderId="16" xfId="0" applyFont="1" applyFill="1" applyBorder="1" applyAlignment="1">
      <alignment horizontal="center" vertical="top" wrapText="1"/>
    </xf>
    <xf numFmtId="0" fontId="3" fillId="22" borderId="45" xfId="0" applyFont="1" applyFill="1" applyBorder="1" applyAlignment="1">
      <alignment horizontal="center" vertical="top" wrapText="1"/>
    </xf>
    <xf numFmtId="0" fontId="3" fillId="22" borderId="15" xfId="0" applyFont="1" applyFill="1" applyBorder="1" applyAlignment="1">
      <alignment horizontal="center" vertical="top" wrapText="1"/>
    </xf>
    <xf numFmtId="0" fontId="39" fillId="22" borderId="46" xfId="0" applyFont="1" applyFill="1" applyBorder="1" applyAlignment="1">
      <alignment horizontal="center" vertical="top" wrapText="1"/>
    </xf>
    <xf numFmtId="0" fontId="3" fillId="25" borderId="12" xfId="0" applyFont="1" applyFill="1" applyBorder="1" applyAlignment="1">
      <alignment horizontal="right"/>
    </xf>
    <xf numFmtId="0" fontId="3" fillId="25" borderId="13" xfId="0" applyFont="1" applyFill="1" applyBorder="1" applyAlignment="1">
      <alignment horizontal="right"/>
    </xf>
    <xf numFmtId="0" fontId="67" fillId="25" borderId="11" xfId="0" applyFont="1" applyFill="1" applyBorder="1" applyAlignment="1" applyProtection="1">
      <alignment horizontal="right"/>
      <protection hidden="1"/>
    </xf>
    <xf numFmtId="0" fontId="67" fillId="25" borderId="26" xfId="0" applyFont="1" applyFill="1" applyBorder="1" applyAlignment="1" applyProtection="1">
      <alignment horizontal="right"/>
      <protection hidden="1"/>
    </xf>
    <xf numFmtId="0" fontId="68" fillId="25" borderId="12" xfId="0" applyFont="1" applyFill="1" applyBorder="1" applyAlignment="1" applyProtection="1">
      <alignment horizontal="right"/>
      <protection hidden="1"/>
    </xf>
    <xf numFmtId="0" fontId="68" fillId="25" borderId="13" xfId="0" applyFont="1" applyFill="1" applyBorder="1" applyAlignment="1" applyProtection="1">
      <alignment horizontal="right"/>
      <protection hidden="1"/>
    </xf>
    <xf numFmtId="0" fontId="17" fillId="25" borderId="26" xfId="0" applyFont="1" applyFill="1" applyBorder="1" applyAlignment="1">
      <alignment horizontal="right"/>
    </xf>
    <xf numFmtId="0" fontId="17" fillId="25" borderId="11" xfId="0" applyFont="1" applyFill="1" applyBorder="1" applyAlignment="1">
      <alignment horizontal="right"/>
    </xf>
    <xf numFmtId="0" fontId="70" fillId="0" borderId="0" xfId="84" applyFont="1" applyFill="1" applyAlignment="1" applyProtection="1">
      <alignment horizontal="center"/>
      <protection locked="0"/>
    </xf>
    <xf numFmtId="0" fontId="72" fillId="0" borderId="0" xfId="84" applyFont="1" applyFill="1" applyAlignment="1" applyProtection="1">
      <alignment horizontal="center"/>
      <protection locked="0"/>
    </xf>
    <xf numFmtId="0" fontId="0" fillId="25" borderId="0" xfId="0" applyFont="1" applyFill="1" applyAlignment="1" applyProtection="1">
      <alignment/>
      <protection hidden="1"/>
    </xf>
    <xf numFmtId="173" fontId="0" fillId="22" borderId="0" xfId="89" applyNumberFormat="1" applyFont="1" applyFill="1" applyAlignment="1" applyProtection="1">
      <alignment horizontal="right"/>
      <protection locked="0"/>
    </xf>
    <xf numFmtId="1" fontId="0" fillId="25" borderId="20" xfId="81" applyNumberFormat="1" applyFont="1" applyFill="1" applyBorder="1" applyAlignment="1" applyProtection="1">
      <alignment horizontal="center"/>
      <protection hidden="1"/>
    </xf>
    <xf numFmtId="2" fontId="0" fillId="25" borderId="20" xfId="81" applyNumberFormat="1" applyFont="1" applyFill="1" applyBorder="1" applyAlignment="1" applyProtection="1">
      <alignment horizontal="center"/>
      <protection hidden="1"/>
    </xf>
    <xf numFmtId="1" fontId="22" fillId="25" borderId="19" xfId="81" applyNumberFormat="1" applyFont="1" applyFill="1" applyBorder="1" applyAlignment="1" applyProtection="1">
      <alignment horizontal="center"/>
      <protection hidden="1"/>
    </xf>
    <xf numFmtId="2" fontId="22" fillId="25" borderId="19" xfId="81" applyNumberFormat="1" applyFont="1" applyFill="1" applyBorder="1" applyAlignment="1" applyProtection="1">
      <alignment horizontal="center"/>
      <protection hidden="1"/>
    </xf>
    <xf numFmtId="172" fontId="22" fillId="25" borderId="0" xfId="81" applyNumberFormat="1" applyFont="1" applyFill="1" applyBorder="1" applyAlignment="1" applyProtection="1">
      <alignment horizontal="center"/>
      <protection hidden="1"/>
    </xf>
    <xf numFmtId="1" fontId="22" fillId="25" borderId="0" xfId="81" applyNumberFormat="1" applyFont="1" applyFill="1" applyBorder="1" applyAlignment="1" applyProtection="1">
      <alignment horizontal="center"/>
      <protection hidden="1"/>
    </xf>
    <xf numFmtId="0" fontId="9" fillId="0" borderId="19" xfId="0" applyFont="1" applyBorder="1" applyAlignment="1">
      <alignment horizontal="center"/>
    </xf>
    <xf numFmtId="1" fontId="74" fillId="25" borderId="0" xfId="81" applyNumberFormat="1" applyFont="1" applyFill="1" applyBorder="1" applyAlignment="1" applyProtection="1">
      <alignment horizontal="center"/>
      <protection hidden="1"/>
    </xf>
    <xf numFmtId="0" fontId="3" fillId="0" borderId="0" xfId="0" applyFont="1" applyAlignment="1" applyProtection="1">
      <alignment/>
      <protection hidden="1"/>
    </xf>
    <xf numFmtId="172" fontId="43" fillId="25" borderId="0" xfId="0" applyNumberFormat="1" applyFont="1" applyFill="1" applyAlignment="1" applyProtection="1">
      <alignment/>
      <protection hidden="1"/>
    </xf>
    <xf numFmtId="172" fontId="43" fillId="25" borderId="0" xfId="0" applyNumberFormat="1" applyFont="1" applyFill="1" applyAlignment="1" applyProtection="1">
      <alignment horizontal="center"/>
      <protection hidden="1"/>
    </xf>
    <xf numFmtId="172" fontId="3" fillId="25" borderId="19" xfId="89" applyNumberFormat="1" applyFont="1" applyFill="1" applyBorder="1" applyAlignment="1" applyProtection="1">
      <alignment horizontal="center"/>
      <protection hidden="1"/>
    </xf>
    <xf numFmtId="172" fontId="0" fillId="0" borderId="0" xfId="0" applyNumberFormat="1" applyAlignment="1" applyProtection="1">
      <alignment/>
      <protection hidden="1"/>
    </xf>
    <xf numFmtId="172" fontId="3" fillId="0" borderId="19" xfId="0" applyNumberFormat="1" applyFont="1" applyBorder="1" applyAlignment="1" applyProtection="1">
      <alignment horizontal="center"/>
      <protection hidden="1"/>
    </xf>
    <xf numFmtId="0" fontId="3" fillId="22" borderId="0" xfId="0" applyFont="1" applyFill="1" applyAlignment="1" applyProtection="1">
      <alignment/>
      <protection locked="0"/>
    </xf>
    <xf numFmtId="0" fontId="3" fillId="0" borderId="0" xfId="0" applyFont="1" applyAlignment="1">
      <alignment/>
    </xf>
    <xf numFmtId="0" fontId="43" fillId="25" borderId="17" xfId="117" applyFont="1" applyFill="1" applyBorder="1" applyAlignment="1" applyProtection="1">
      <alignment horizontal="right"/>
      <protection hidden="1"/>
    </xf>
    <xf numFmtId="172" fontId="3" fillId="25" borderId="17" xfId="117" applyNumberFormat="1" applyFont="1" applyFill="1" applyBorder="1" applyAlignment="1" applyProtection="1">
      <alignment horizontal="right"/>
      <protection hidden="1"/>
    </xf>
    <xf numFmtId="0" fontId="17" fillId="0" borderId="11" xfId="0" applyFont="1" applyBorder="1" applyAlignment="1" applyProtection="1">
      <alignment horizontal="right"/>
      <protection hidden="1"/>
    </xf>
    <xf numFmtId="0" fontId="3" fillId="25" borderId="12" xfId="0" applyFont="1" applyFill="1" applyBorder="1" applyAlignment="1" applyProtection="1">
      <alignment horizontal="right"/>
      <protection hidden="1"/>
    </xf>
    <xf numFmtId="0" fontId="3" fillId="0" borderId="11" xfId="0" applyFont="1" applyBorder="1" applyAlignment="1" applyProtection="1">
      <alignment/>
      <protection hidden="1"/>
    </xf>
    <xf numFmtId="172" fontId="3" fillId="0" borderId="12" xfId="0" applyNumberFormat="1" applyFont="1" applyBorder="1" applyAlignment="1" applyProtection="1">
      <alignment/>
      <protection hidden="1"/>
    </xf>
    <xf numFmtId="1" fontId="3" fillId="25" borderId="25" xfId="0" applyNumberFormat="1" applyFont="1" applyFill="1" applyBorder="1" applyAlignment="1" applyProtection="1">
      <alignment/>
      <protection hidden="1"/>
    </xf>
    <xf numFmtId="1" fontId="3" fillId="25" borderId="18" xfId="0" applyNumberFormat="1" applyFont="1" applyFill="1" applyBorder="1" applyAlignment="1" applyProtection="1">
      <alignment/>
      <protection hidden="1"/>
    </xf>
    <xf numFmtId="172" fontId="3" fillId="25" borderId="18" xfId="89" applyNumberFormat="1" applyFont="1" applyFill="1" applyBorder="1" applyAlignment="1" applyProtection="1">
      <alignment/>
      <protection hidden="1"/>
    </xf>
    <xf numFmtId="0" fontId="3" fillId="0" borderId="0" xfId="118" applyFont="1">
      <alignment/>
      <protection/>
    </xf>
    <xf numFmtId="0" fontId="3" fillId="0" borderId="0" xfId="104" applyFont="1">
      <alignment/>
      <protection/>
    </xf>
    <xf numFmtId="0" fontId="3" fillId="25" borderId="27" xfId="95" applyFont="1" applyFill="1" applyBorder="1" applyAlignment="1" applyProtection="1">
      <alignment horizontal="right" shrinkToFit="1"/>
      <protection/>
    </xf>
    <xf numFmtId="0" fontId="3" fillId="25" borderId="21" xfId="95" applyFont="1" applyFill="1" applyBorder="1" applyAlignment="1" applyProtection="1">
      <alignment horizontal="right" shrinkToFit="1"/>
      <protection/>
    </xf>
    <xf numFmtId="0" fontId="43" fillId="25" borderId="0" xfId="87" applyFont="1" applyFill="1" applyAlignment="1">
      <alignment/>
      <protection/>
    </xf>
    <xf numFmtId="0" fontId="3" fillId="25" borderId="10" xfId="0" applyFont="1" applyFill="1" applyBorder="1" applyAlignment="1">
      <alignment/>
    </xf>
    <xf numFmtId="0" fontId="3" fillId="25" borderId="26" xfId="0" applyFont="1" applyFill="1" applyBorder="1" applyAlignment="1">
      <alignment/>
    </xf>
    <xf numFmtId="0" fontId="51" fillId="25" borderId="0" xfId="95" applyFont="1" applyFill="1" applyBorder="1" applyAlignment="1" applyProtection="1">
      <alignment horizontal="right"/>
      <protection/>
    </xf>
    <xf numFmtId="0" fontId="51" fillId="25" borderId="18" xfId="95" applyFont="1" applyFill="1" applyBorder="1" applyAlignment="1" applyProtection="1">
      <alignment horizontal="right"/>
      <protection/>
    </xf>
    <xf numFmtId="0" fontId="3" fillId="25" borderId="20" xfId="95" applyFont="1" applyFill="1" applyBorder="1" applyAlignment="1" applyProtection="1">
      <alignment horizontal="right" shrinkToFit="1"/>
      <protection/>
    </xf>
    <xf numFmtId="0" fontId="14" fillId="0" borderId="26" xfId="0" applyFont="1" applyBorder="1" applyAlignment="1" applyProtection="1">
      <alignment horizontal="center" vertical="top" wrapText="1"/>
      <protection hidden="1"/>
    </xf>
    <xf numFmtId="0" fontId="0" fillId="0" borderId="26" xfId="0" applyBorder="1" applyAlignment="1">
      <alignment horizontal="center"/>
    </xf>
    <xf numFmtId="0" fontId="0" fillId="0" borderId="0" xfId="0" applyAlignment="1">
      <alignment horizontal="center"/>
    </xf>
    <xf numFmtId="0" fontId="25" fillId="25" borderId="0" xfId="89" applyFont="1" applyFill="1" applyBorder="1" applyAlignment="1" applyProtection="1">
      <alignment/>
      <protection/>
    </xf>
    <xf numFmtId="0" fontId="3" fillId="25" borderId="15" xfId="89" applyFont="1" applyFill="1" applyBorder="1" applyAlignment="1" applyProtection="1">
      <alignment horizontal="right"/>
      <protection hidden="1"/>
    </xf>
    <xf numFmtId="0" fontId="3" fillId="25" borderId="14" xfId="89" applyFont="1" applyFill="1" applyBorder="1" applyAlignment="1" applyProtection="1">
      <alignment horizontal="right"/>
      <protection hidden="1"/>
    </xf>
    <xf numFmtId="2" fontId="51" fillId="25" borderId="20" xfId="89" applyNumberFormat="1" applyFont="1" applyFill="1" applyBorder="1" applyAlignment="1" applyProtection="1">
      <alignment horizontal="center"/>
      <protection hidden="1"/>
    </xf>
    <xf numFmtId="2" fontId="51" fillId="25" borderId="21" xfId="89" applyNumberFormat="1" applyFont="1" applyFill="1" applyBorder="1" applyAlignment="1" applyProtection="1">
      <alignment horizontal="center"/>
      <protection hidden="1"/>
    </xf>
    <xf numFmtId="0" fontId="3" fillId="25" borderId="16" xfId="89" applyFont="1" applyFill="1" applyBorder="1" applyAlignment="1" applyProtection="1">
      <alignment vertical="top" wrapText="1"/>
      <protection hidden="1"/>
    </xf>
    <xf numFmtId="0" fontId="3" fillId="25" borderId="0" xfId="89" applyFont="1" applyFill="1" applyAlignment="1" applyProtection="1">
      <alignment vertical="top" wrapText="1"/>
      <protection hidden="1"/>
    </xf>
    <xf numFmtId="2" fontId="3" fillId="25" borderId="20" xfId="89" applyNumberFormat="1" applyFont="1" applyFill="1" applyBorder="1" applyAlignment="1" applyProtection="1">
      <alignment horizontal="center"/>
      <protection hidden="1"/>
    </xf>
    <xf numFmtId="2" fontId="3" fillId="25" borderId="21" xfId="89" applyNumberFormat="1" applyFont="1" applyFill="1" applyBorder="1" applyAlignment="1" applyProtection="1">
      <alignment horizontal="center"/>
      <protection hidden="1"/>
    </xf>
    <xf numFmtId="0" fontId="73" fillId="17" borderId="19" xfId="95" applyFont="1" applyFill="1" applyBorder="1" applyAlignment="1" applyProtection="1">
      <alignment horizontal="center" vertical="center" wrapText="1"/>
      <protection hidden="1"/>
    </xf>
    <xf numFmtId="0" fontId="43" fillId="25" borderId="10" xfId="0" applyFont="1" applyFill="1" applyBorder="1" applyAlignment="1" applyProtection="1">
      <alignment/>
      <protection hidden="1"/>
    </xf>
    <xf numFmtId="0" fontId="43" fillId="25" borderId="26" xfId="0" applyFont="1" applyFill="1" applyBorder="1" applyAlignment="1" applyProtection="1">
      <alignment/>
      <protection hidden="1"/>
    </xf>
    <xf numFmtId="0" fontId="49" fillId="20" borderId="20" xfId="87" applyFont="1" applyFill="1" applyBorder="1" applyAlignment="1" applyProtection="1">
      <alignment horizontal="center"/>
      <protection hidden="1"/>
    </xf>
    <xf numFmtId="0" fontId="49" fillId="20" borderId="21" xfId="87" applyFont="1" applyFill="1" applyBorder="1" applyAlignment="1" applyProtection="1">
      <alignment horizontal="center"/>
      <protection hidden="1"/>
    </xf>
    <xf numFmtId="0" fontId="7" fillId="25" borderId="0" xfId="89" applyFont="1" applyFill="1" applyBorder="1" applyAlignment="1" applyProtection="1">
      <alignment horizontal="right"/>
      <protection hidden="1"/>
    </xf>
    <xf numFmtId="0" fontId="7" fillId="25" borderId="18" xfId="89" applyFont="1" applyFill="1" applyBorder="1" applyAlignment="1" applyProtection="1">
      <alignment horizontal="right"/>
      <protection hidden="1"/>
    </xf>
    <xf numFmtId="0" fontId="43" fillId="25" borderId="27" xfId="78" applyFont="1" applyFill="1" applyBorder="1" applyProtection="1">
      <alignment/>
      <protection hidden="1"/>
    </xf>
    <xf numFmtId="0" fontId="43" fillId="25" borderId="15" xfId="0" applyFont="1" applyFill="1" applyBorder="1" applyAlignment="1" applyProtection="1">
      <alignment/>
      <protection hidden="1"/>
    </xf>
    <xf numFmtId="0" fontId="43" fillId="25" borderId="13" xfId="0" applyFont="1" applyFill="1" applyBorder="1" applyAlignment="1" applyProtection="1">
      <alignment/>
      <protection hidden="1"/>
    </xf>
    <xf numFmtId="0" fontId="3" fillId="25" borderId="16" xfId="89" applyFont="1" applyFill="1" applyBorder="1" applyAlignment="1" applyProtection="1">
      <alignment/>
      <protection hidden="1"/>
    </xf>
    <xf numFmtId="0" fontId="3" fillId="22" borderId="19" xfId="89" applyFont="1" applyFill="1" applyBorder="1" applyAlignment="1" applyProtection="1">
      <alignment horizontal="center" wrapText="1"/>
      <protection locked="0"/>
    </xf>
    <xf numFmtId="0" fontId="3" fillId="29" borderId="0" xfId="95" applyFill="1" applyBorder="1" applyAlignment="1" applyProtection="1">
      <alignment horizontal="center" vertical="center" wrapText="1"/>
      <protection hidden="1"/>
    </xf>
    <xf numFmtId="0" fontId="3" fillId="29" borderId="18" xfId="95" applyFill="1" applyBorder="1" applyAlignment="1" applyProtection="1">
      <alignment horizontal="center" vertical="center" wrapText="1"/>
      <protection hidden="1"/>
    </xf>
    <xf numFmtId="172" fontId="3" fillId="29" borderId="20" xfId="95" applyNumberFormat="1" applyFont="1" applyFill="1" applyBorder="1" applyAlignment="1" applyProtection="1">
      <alignment horizontal="center" vertical="center" wrapText="1"/>
      <protection hidden="1"/>
    </xf>
    <xf numFmtId="172" fontId="3" fillId="29" borderId="21" xfId="95" applyNumberFormat="1" applyFont="1" applyFill="1" applyBorder="1" applyAlignment="1" applyProtection="1">
      <alignment horizontal="center" vertical="center" wrapText="1"/>
      <protection hidden="1"/>
    </xf>
    <xf numFmtId="0" fontId="43" fillId="25" borderId="20" xfId="78" applyFont="1" applyFill="1" applyBorder="1" applyProtection="1">
      <alignment/>
      <protection hidden="1"/>
    </xf>
    <xf numFmtId="0" fontId="3" fillId="11" borderId="18" xfId="95" applyFont="1" applyFill="1" applyBorder="1" applyAlignment="1" applyProtection="1">
      <alignment horizontal="center" vertical="center" wrapText="1"/>
      <protection hidden="1"/>
    </xf>
    <xf numFmtId="0" fontId="17" fillId="25" borderId="16" xfId="89" applyFont="1" applyFill="1" applyBorder="1" applyAlignment="1">
      <alignment horizontal="right"/>
      <protection/>
    </xf>
    <xf numFmtId="0" fontId="17" fillId="25" borderId="0" xfId="89" applyFont="1" applyFill="1" applyBorder="1" applyAlignment="1">
      <alignment horizontal="right"/>
      <protection/>
    </xf>
    <xf numFmtId="0" fontId="17" fillId="25" borderId="18" xfId="89" applyFont="1" applyFill="1" applyBorder="1" applyAlignment="1">
      <alignment horizontal="right"/>
      <protection/>
    </xf>
    <xf numFmtId="0" fontId="3" fillId="29" borderId="16" xfId="95" applyFill="1" applyBorder="1" applyAlignment="1" applyProtection="1">
      <alignment horizontal="center" vertical="center" wrapText="1"/>
      <protection hidden="1"/>
    </xf>
    <xf numFmtId="0" fontId="3" fillId="25" borderId="16" xfId="95" applyFont="1" applyFill="1" applyBorder="1" applyAlignment="1" applyProtection="1">
      <alignment vertical="top"/>
      <protection hidden="1"/>
    </xf>
    <xf numFmtId="0" fontId="17" fillId="25" borderId="0" xfId="89" applyFont="1" applyFill="1" applyBorder="1" applyAlignment="1" applyProtection="1">
      <alignment/>
      <protection hidden="1"/>
    </xf>
    <xf numFmtId="0" fontId="3" fillId="25" borderId="0" xfId="89" applyFont="1" applyFill="1" applyAlignment="1">
      <alignment/>
      <protection/>
    </xf>
    <xf numFmtId="49" fontId="63" fillId="25" borderId="16" xfId="76" applyNumberFormat="1" applyFont="1" applyFill="1" applyBorder="1" applyAlignment="1" applyProtection="1">
      <alignment horizontal="left" vertical="center" wrapText="1"/>
      <protection/>
    </xf>
    <xf numFmtId="49" fontId="63" fillId="25" borderId="0" xfId="76" applyNumberFormat="1" applyFont="1" applyFill="1" applyBorder="1" applyAlignment="1" applyProtection="1">
      <alignment horizontal="left" vertical="center" wrapText="1"/>
      <protection/>
    </xf>
    <xf numFmtId="0" fontId="3" fillId="25" borderId="10" xfId="95" applyFont="1" applyFill="1" applyBorder="1" applyAlignment="1" applyProtection="1">
      <alignment vertical="top"/>
      <protection hidden="1"/>
    </xf>
    <xf numFmtId="0" fontId="3" fillId="25" borderId="15" xfId="95" applyFont="1" applyFill="1" applyBorder="1" applyAlignment="1" applyProtection="1">
      <alignment vertical="top"/>
      <protection hidden="1"/>
    </xf>
    <xf numFmtId="0" fontId="3" fillId="11" borderId="16" xfId="95" applyFont="1" applyFill="1" applyBorder="1" applyAlignment="1" applyProtection="1">
      <alignment horizontal="center" vertical="center" wrapText="1"/>
      <protection hidden="1"/>
    </xf>
    <xf numFmtId="0" fontId="3" fillId="11" borderId="0" xfId="95" applyFont="1" applyFill="1" applyBorder="1" applyAlignment="1" applyProtection="1">
      <alignment horizontal="center" vertical="center" wrapText="1"/>
      <protection hidden="1"/>
    </xf>
    <xf numFmtId="2" fontId="8" fillId="25" borderId="21" xfId="89" applyNumberFormat="1" applyFont="1" applyFill="1" applyBorder="1" applyAlignment="1" applyProtection="1">
      <alignment horizontal="center"/>
      <protection hidden="1"/>
    </xf>
    <xf numFmtId="0" fontId="43" fillId="25" borderId="26" xfId="117" applyFont="1" applyFill="1" applyBorder="1" applyAlignment="1" applyProtection="1">
      <alignment/>
      <protection hidden="1"/>
    </xf>
    <xf numFmtId="0" fontId="43" fillId="25" borderId="25" xfId="117" applyFont="1" applyFill="1" applyBorder="1" applyAlignment="1" applyProtection="1">
      <alignment/>
      <protection hidden="1"/>
    </xf>
    <xf numFmtId="0" fontId="3" fillId="0" borderId="10" xfId="0" applyFont="1" applyBorder="1" applyAlignment="1">
      <alignment/>
    </xf>
    <xf numFmtId="0" fontId="3" fillId="0" borderId="26" xfId="0" applyFont="1" applyBorder="1" applyAlignment="1">
      <alignment/>
    </xf>
    <xf numFmtId="0" fontId="3" fillId="0" borderId="25" xfId="0" applyFont="1" applyBorder="1" applyAlignment="1">
      <alignment/>
    </xf>
    <xf numFmtId="0" fontId="3" fillId="0" borderId="15" xfId="0" applyFont="1" applyBorder="1" applyAlignment="1">
      <alignment/>
    </xf>
    <xf numFmtId="0" fontId="3" fillId="0" borderId="13" xfId="0" applyFont="1" applyBorder="1" applyAlignment="1">
      <alignment/>
    </xf>
    <xf numFmtId="0" fontId="3" fillId="0" borderId="14" xfId="0" applyFont="1" applyBorder="1" applyAlignment="1">
      <alignment/>
    </xf>
    <xf numFmtId="0" fontId="25" fillId="25" borderId="0" xfId="89" applyFont="1" applyFill="1" applyAlignment="1">
      <alignment/>
      <protection/>
    </xf>
    <xf numFmtId="0" fontId="3" fillId="25" borderId="20" xfId="89" applyFont="1" applyFill="1" applyBorder="1" applyAlignment="1">
      <alignment horizontal="center" vertical="center" wrapText="1"/>
      <protection/>
    </xf>
    <xf numFmtId="0" fontId="3" fillId="25" borderId="21" xfId="89" applyFont="1" applyFill="1" applyBorder="1" applyAlignment="1">
      <alignment horizontal="center" vertical="center" wrapText="1"/>
      <protection/>
    </xf>
    <xf numFmtId="0" fontId="51" fillId="10" borderId="16" xfId="95" applyFont="1" applyFill="1" applyBorder="1" applyAlignment="1" applyProtection="1">
      <alignment horizontal="center" vertical="center" wrapText="1"/>
      <protection hidden="1"/>
    </xf>
    <xf numFmtId="0" fontId="51" fillId="10" borderId="0" xfId="95" applyFont="1" applyFill="1" applyBorder="1" applyAlignment="1" applyProtection="1">
      <alignment horizontal="center" vertical="center" wrapText="1"/>
      <protection hidden="1"/>
    </xf>
    <xf numFmtId="0" fontId="51" fillId="10" borderId="18" xfId="95" applyFont="1" applyFill="1" applyBorder="1" applyAlignment="1" applyProtection="1">
      <alignment horizontal="center" vertical="center" wrapText="1"/>
      <protection hidden="1"/>
    </xf>
    <xf numFmtId="2" fontId="8" fillId="25" borderId="20" xfId="89" applyNumberFormat="1" applyFont="1" applyFill="1" applyBorder="1" applyAlignment="1" applyProtection="1">
      <alignment horizontal="center"/>
      <protection hidden="1"/>
    </xf>
    <xf numFmtId="0" fontId="3" fillId="25" borderId="14" xfId="89" applyFont="1" applyFill="1" applyBorder="1" applyAlignment="1" applyProtection="1">
      <alignment horizontal="center"/>
      <protection hidden="1"/>
    </xf>
    <xf numFmtId="0" fontId="3" fillId="25" borderId="10" xfId="89" applyFont="1" applyFill="1" applyBorder="1" applyAlignment="1" applyProtection="1">
      <alignment horizontal="center"/>
      <protection hidden="1"/>
    </xf>
    <xf numFmtId="0" fontId="3" fillId="25" borderId="25" xfId="89" applyFont="1" applyFill="1" applyBorder="1" applyAlignment="1" applyProtection="1">
      <alignment horizontal="center"/>
      <protection hidden="1"/>
    </xf>
    <xf numFmtId="0" fontId="14" fillId="25" borderId="0" xfId="89" applyFont="1" applyFill="1" applyBorder="1" applyProtection="1">
      <alignment/>
      <protection hidden="1"/>
    </xf>
    <xf numFmtId="0" fontId="3" fillId="25" borderId="19" xfId="89" applyFont="1" applyFill="1" applyBorder="1" applyAlignment="1" applyProtection="1">
      <alignment horizontal="right"/>
      <protection hidden="1"/>
    </xf>
    <xf numFmtId="0" fontId="25" fillId="25" borderId="0" xfId="89" applyFont="1" applyFill="1" applyBorder="1" applyAlignment="1">
      <alignment/>
      <protection/>
    </xf>
    <xf numFmtId="0" fontId="3" fillId="25" borderId="15" xfId="89" applyFont="1" applyFill="1" applyBorder="1" applyAlignment="1" applyProtection="1">
      <alignment horizontal="center"/>
      <protection hidden="1"/>
    </xf>
    <xf numFmtId="0" fontId="3" fillId="25" borderId="0" xfId="89" applyFont="1" applyFill="1" applyBorder="1" applyAlignment="1" applyProtection="1">
      <alignment/>
      <protection hidden="1"/>
    </xf>
    <xf numFmtId="0" fontId="43" fillId="25" borderId="18" xfId="116" applyFont="1" applyFill="1" applyBorder="1" applyAlignment="1" applyProtection="1">
      <alignment/>
      <protection hidden="1"/>
    </xf>
    <xf numFmtId="0" fontId="3" fillId="25" borderId="16" xfId="89" applyFont="1" applyFill="1" applyBorder="1" applyAlignment="1" applyProtection="1">
      <alignment horizontal="left" vertical="center" wrapText="1"/>
      <protection hidden="1"/>
    </xf>
    <xf numFmtId="0" fontId="3" fillId="25" borderId="0" xfId="89" applyFont="1" applyFill="1" applyBorder="1" applyAlignment="1" applyProtection="1">
      <alignment horizontal="left" vertical="center" wrapText="1"/>
      <protection hidden="1"/>
    </xf>
    <xf numFmtId="0" fontId="3" fillId="25" borderId="0" xfId="89" applyFont="1" applyFill="1" applyAlignment="1" applyProtection="1">
      <alignment/>
      <protection hidden="1"/>
    </xf>
    <xf numFmtId="0" fontId="7" fillId="25" borderId="19" xfId="89" applyFont="1" applyFill="1" applyBorder="1" applyAlignment="1" applyProtection="1">
      <alignment horizontal="center" wrapText="1"/>
      <protection hidden="1"/>
    </xf>
    <xf numFmtId="0" fontId="3" fillId="25" borderId="0" xfId="89" applyFont="1" applyFill="1" applyAlignment="1" applyProtection="1">
      <alignment/>
      <protection hidden="1"/>
    </xf>
    <xf numFmtId="0" fontId="17" fillId="25" borderId="0" xfId="0" applyFont="1" applyFill="1" applyBorder="1" applyAlignment="1" applyProtection="1">
      <alignment horizontal="right"/>
      <protection hidden="1"/>
    </xf>
    <xf numFmtId="0" fontId="17" fillId="25" borderId="18" xfId="0" applyFont="1" applyFill="1" applyBorder="1" applyAlignment="1" applyProtection="1">
      <alignment horizontal="right"/>
      <protection hidden="1"/>
    </xf>
    <xf numFmtId="0" fontId="3" fillId="25" borderId="47" xfId="89" applyFont="1" applyFill="1" applyBorder="1" applyAlignment="1" applyProtection="1">
      <alignment horizontal="left" vertical="center" wrapText="1"/>
      <protection/>
    </xf>
    <xf numFmtId="0" fontId="3" fillId="25" borderId="48" xfId="89" applyFont="1" applyFill="1" applyBorder="1" applyAlignment="1" applyProtection="1">
      <alignment horizontal="left" vertical="center" wrapText="1"/>
      <protection/>
    </xf>
    <xf numFmtId="0" fontId="43" fillId="25" borderId="16" xfId="117" applyFont="1" applyFill="1" applyBorder="1" applyAlignment="1" applyProtection="1">
      <alignment/>
      <protection hidden="1"/>
    </xf>
    <xf numFmtId="0" fontId="43" fillId="25" borderId="0" xfId="117" applyFont="1" applyFill="1" applyBorder="1" applyAlignment="1" applyProtection="1">
      <alignment/>
      <protection hidden="1"/>
    </xf>
    <xf numFmtId="0" fontId="43" fillId="25" borderId="13" xfId="117" applyFont="1" applyFill="1" applyBorder="1" applyAlignment="1" applyProtection="1">
      <alignment/>
      <protection hidden="1"/>
    </xf>
    <xf numFmtId="0" fontId="43" fillId="25" borderId="14" xfId="117" applyFont="1" applyFill="1" applyBorder="1" applyAlignment="1" applyProtection="1">
      <alignment/>
      <protection hidden="1"/>
    </xf>
    <xf numFmtId="0" fontId="43" fillId="25" borderId="0" xfId="116" applyFont="1" applyFill="1" applyBorder="1" applyAlignment="1" applyProtection="1">
      <alignment/>
      <protection hidden="1"/>
    </xf>
    <xf numFmtId="0" fontId="3" fillId="25" borderId="49" xfId="89" applyFont="1" applyFill="1" applyBorder="1" applyAlignment="1" applyProtection="1">
      <alignment horizontal="center" vertical="center" wrapText="1"/>
      <protection/>
    </xf>
    <xf numFmtId="0" fontId="3" fillId="25" borderId="50" xfId="89" applyFont="1" applyFill="1" applyBorder="1" applyAlignment="1" applyProtection="1">
      <alignment horizontal="center" vertical="center" wrapText="1"/>
      <protection/>
    </xf>
    <xf numFmtId="0" fontId="3" fillId="25" borderId="51" xfId="89" applyFont="1" applyFill="1" applyBorder="1" applyAlignment="1" applyProtection="1">
      <alignment horizontal="center" vertical="center" wrapText="1"/>
      <protection/>
    </xf>
    <xf numFmtId="0" fontId="3" fillId="25" borderId="52" xfId="89" applyFont="1" applyFill="1" applyBorder="1" applyAlignment="1" applyProtection="1">
      <alignment horizontal="left" vertical="center" wrapText="1"/>
      <protection/>
    </xf>
    <xf numFmtId="0" fontId="3" fillId="25" borderId="53" xfId="89" applyFont="1" applyFill="1" applyBorder="1" applyAlignment="1" applyProtection="1">
      <alignment horizontal="center" vertical="center" wrapText="1"/>
      <protection/>
    </xf>
    <xf numFmtId="0" fontId="3" fillId="25" borderId="54" xfId="89" applyFont="1" applyFill="1" applyBorder="1" applyAlignment="1" applyProtection="1">
      <alignment horizontal="center" vertical="center" wrapText="1"/>
      <protection/>
    </xf>
    <xf numFmtId="0" fontId="3" fillId="25" borderId="48" xfId="89" applyFont="1" applyFill="1" applyBorder="1" applyAlignment="1" applyProtection="1">
      <alignment vertical="center" wrapText="1"/>
      <protection/>
    </xf>
    <xf numFmtId="1" fontId="3" fillId="25" borderId="20" xfId="84" applyNumberFormat="1" applyFont="1" applyFill="1" applyBorder="1" applyAlignment="1" applyProtection="1">
      <alignment horizontal="left"/>
      <protection hidden="1"/>
    </xf>
    <xf numFmtId="1" fontId="3" fillId="25" borderId="27" xfId="84" applyNumberFormat="1" applyFont="1" applyFill="1" applyBorder="1" applyAlignment="1" applyProtection="1">
      <alignment horizontal="left"/>
      <protection hidden="1"/>
    </xf>
    <xf numFmtId="1" fontId="3" fillId="25" borderId="21" xfId="84" applyNumberFormat="1" applyFont="1" applyFill="1" applyBorder="1" applyAlignment="1" applyProtection="1">
      <alignment horizontal="left"/>
      <protection hidden="1"/>
    </xf>
    <xf numFmtId="0" fontId="17" fillId="25" borderId="0" xfId="89" applyFont="1" applyFill="1" applyBorder="1" applyAlignment="1" applyProtection="1">
      <alignment horizontal="right"/>
      <protection hidden="1"/>
    </xf>
    <xf numFmtId="0" fontId="17" fillId="25" borderId="18" xfId="89" applyFont="1" applyFill="1" applyBorder="1" applyAlignment="1" applyProtection="1">
      <alignment horizontal="right"/>
      <protection hidden="1"/>
    </xf>
    <xf numFmtId="0" fontId="3" fillId="25" borderId="55" xfId="89" applyFont="1" applyFill="1" applyBorder="1" applyAlignment="1" applyProtection="1">
      <alignment horizontal="center" vertical="center" wrapText="1"/>
      <protection/>
    </xf>
    <xf numFmtId="0" fontId="3" fillId="25" borderId="16" xfId="0" applyFont="1" applyFill="1" applyBorder="1" applyAlignment="1" applyProtection="1">
      <alignment vertical="top" wrapText="1"/>
      <protection hidden="1"/>
    </xf>
    <xf numFmtId="0" fontId="3" fillId="25" borderId="0" xfId="0" applyFont="1" applyFill="1" applyBorder="1" applyAlignment="1" applyProtection="1">
      <alignment vertical="top" wrapText="1"/>
      <protection hidden="1"/>
    </xf>
    <xf numFmtId="0" fontId="3" fillId="25" borderId="0" xfId="0" applyFont="1" applyFill="1" applyAlignment="1">
      <alignment horizontal="center"/>
    </xf>
    <xf numFmtId="0" fontId="18" fillId="25" borderId="0" xfId="67" applyFont="1" applyFill="1" applyBorder="1" applyAlignment="1" applyProtection="1">
      <alignment horizontal="left"/>
      <protection hidden="1"/>
    </xf>
    <xf numFmtId="0" fontId="11" fillId="25" borderId="0" xfId="0" applyFont="1" applyFill="1" applyAlignment="1" applyProtection="1">
      <alignment/>
      <protection hidden="1"/>
    </xf>
    <xf numFmtId="0" fontId="5" fillId="25" borderId="0" xfId="0" applyFont="1" applyFill="1" applyAlignment="1" applyProtection="1">
      <alignment horizontal="right"/>
      <protection hidden="1"/>
    </xf>
    <xf numFmtId="0" fontId="18" fillId="25" borderId="0" xfId="67" applyFont="1" applyFill="1" applyAlignment="1" applyProtection="1">
      <alignment horizontal="left"/>
      <protection hidden="1"/>
    </xf>
    <xf numFmtId="0" fontId="17" fillId="25" borderId="0" xfId="95" applyFont="1" applyFill="1" applyBorder="1" applyAlignment="1" applyProtection="1">
      <alignment horizontal="right"/>
      <protection hidden="1"/>
    </xf>
    <xf numFmtId="0" fontId="3" fillId="25" borderId="52" xfId="89" applyFont="1" applyFill="1" applyBorder="1" applyAlignment="1" applyProtection="1">
      <alignment vertical="center" wrapText="1"/>
      <protection/>
    </xf>
    <xf numFmtId="0" fontId="3" fillId="25" borderId="47" xfId="89" applyFont="1" applyFill="1" applyBorder="1" applyAlignment="1" applyProtection="1">
      <alignment vertical="center" wrapText="1"/>
      <protection/>
    </xf>
    <xf numFmtId="0" fontId="162" fillId="25" borderId="0" xfId="65" applyFont="1" applyFill="1" applyAlignment="1" applyProtection="1">
      <alignment vertical="center" readingOrder="1"/>
      <protection hidden="1"/>
    </xf>
    <xf numFmtId="0" fontId="24" fillId="25" borderId="0" xfId="0" applyFont="1" applyFill="1" applyAlignment="1" applyProtection="1">
      <alignment/>
      <protection hidden="1"/>
    </xf>
    <xf numFmtId="0" fontId="11" fillId="0" borderId="0" xfId="0" applyFont="1" applyAlignment="1" applyProtection="1">
      <alignment horizontal="center" vertical="justify" wrapText="1"/>
      <protection hidden="1"/>
    </xf>
    <xf numFmtId="2" fontId="18" fillId="25" borderId="0" xfId="67" applyNumberFormat="1" applyFont="1" applyFill="1" applyBorder="1" applyAlignment="1" applyProtection="1">
      <alignment horizontal="left"/>
      <protection hidden="1"/>
    </xf>
    <xf numFmtId="0" fontId="0" fillId="0" borderId="0" xfId="0" applyAlignment="1" applyProtection="1">
      <alignment/>
      <protection hidden="1"/>
    </xf>
    <xf numFmtId="0" fontId="162" fillId="25" borderId="0" xfId="67" applyFont="1" applyFill="1" applyAlignment="1" applyProtection="1">
      <alignment horizontal="left" vertical="center"/>
      <protection hidden="1"/>
    </xf>
    <xf numFmtId="0" fontId="162" fillId="25" borderId="0" xfId="67" applyFont="1" applyFill="1" applyAlignment="1" applyProtection="1">
      <alignment vertical="center"/>
      <protection hidden="1"/>
    </xf>
    <xf numFmtId="0" fontId="2" fillId="25" borderId="0" xfId="65" applyFill="1" applyBorder="1" applyAlignment="1" applyProtection="1">
      <alignment/>
      <protection hidden="1"/>
    </xf>
    <xf numFmtId="0" fontId="2" fillId="25" borderId="0" xfId="65" applyFill="1" applyAlignment="1" applyProtection="1">
      <alignment/>
      <protection/>
    </xf>
    <xf numFmtId="0" fontId="2" fillId="25" borderId="0" xfId="67" applyFill="1" applyAlignment="1" applyProtection="1">
      <alignment/>
      <protection hidden="1"/>
    </xf>
    <xf numFmtId="0" fontId="0" fillId="25" borderId="0" xfId="0" applyFont="1" applyFill="1" applyBorder="1" applyAlignment="1" applyProtection="1">
      <alignment horizontal="left"/>
      <protection hidden="1"/>
    </xf>
    <xf numFmtId="0" fontId="162" fillId="25" borderId="0" xfId="65" applyFont="1" applyFill="1" applyAlignment="1" applyProtection="1">
      <alignment vertical="center"/>
      <protection hidden="1"/>
    </xf>
    <xf numFmtId="0" fontId="162" fillId="25" borderId="0" xfId="67" applyFont="1" applyFill="1" applyAlignment="1" applyProtection="1">
      <alignment vertical="center" readingOrder="1"/>
      <protection hidden="1"/>
    </xf>
    <xf numFmtId="0" fontId="0" fillId="25" borderId="0" xfId="0" applyFill="1" applyAlignment="1">
      <alignment/>
    </xf>
    <xf numFmtId="0" fontId="162" fillId="25" borderId="0" xfId="65" applyFont="1" applyFill="1" applyAlignment="1" applyProtection="1">
      <alignment horizontal="left" vertical="center" readingOrder="1"/>
      <protection hidden="1"/>
    </xf>
    <xf numFmtId="0" fontId="0" fillId="25" borderId="0" xfId="0" applyFill="1" applyAlignment="1" applyProtection="1">
      <alignment/>
      <protection hidden="1"/>
    </xf>
    <xf numFmtId="0" fontId="160" fillId="25" borderId="0" xfId="0" applyFont="1" applyFill="1" applyAlignment="1" applyProtection="1">
      <alignment horizontal="center"/>
      <protection hidden="1"/>
    </xf>
    <xf numFmtId="0" fontId="2" fillId="25" borderId="0" xfId="65" applyFill="1" applyBorder="1" applyAlignment="1" applyProtection="1">
      <alignment horizontal="left"/>
      <protection hidden="1"/>
    </xf>
    <xf numFmtId="0" fontId="2" fillId="0" borderId="0" xfId="65" applyAlignment="1" applyProtection="1">
      <alignment/>
      <protection hidden="1"/>
    </xf>
    <xf numFmtId="0" fontId="44" fillId="25" borderId="0" xfId="118" applyNumberFormat="1" applyFont="1" applyFill="1" applyProtection="1">
      <alignment/>
      <protection hidden="1"/>
    </xf>
    <xf numFmtId="0" fontId="6" fillId="0" borderId="0" xfId="104" applyNumberFormat="1" applyFont="1" applyProtection="1">
      <alignment/>
      <protection hidden="1"/>
    </xf>
    <xf numFmtId="0" fontId="97" fillId="25" borderId="0" xfId="104" applyNumberFormat="1" applyFont="1" applyFill="1" applyAlignment="1" applyProtection="1">
      <alignment horizontal="center"/>
      <protection hidden="1"/>
    </xf>
    <xf numFmtId="0" fontId="5" fillId="25" borderId="0" xfId="100" applyNumberFormat="1" applyFont="1" applyFill="1" applyAlignment="1" applyProtection="1">
      <alignment horizontal="right"/>
      <protection hidden="1"/>
    </xf>
    <xf numFmtId="0" fontId="0" fillId="25" borderId="0" xfId="104" applyNumberFormat="1" applyFill="1" applyProtection="1">
      <alignment/>
      <protection hidden="1"/>
    </xf>
    <xf numFmtId="0" fontId="61" fillId="25" borderId="0" xfId="70" applyNumberFormat="1" applyFont="1" applyFill="1" applyAlignment="1" applyProtection="1">
      <alignment horizontal="right"/>
      <protection hidden="1"/>
    </xf>
    <xf numFmtId="0" fontId="176" fillId="0" borderId="19" xfId="87" applyNumberFormat="1" applyFont="1" applyBorder="1" applyAlignment="1" applyProtection="1">
      <alignment horizontal="center"/>
      <protection hidden="1"/>
    </xf>
    <xf numFmtId="0" fontId="97" fillId="25" borderId="0" xfId="104" applyNumberFormat="1" applyFont="1" applyFill="1" applyAlignment="1" applyProtection="1">
      <alignment horizontal="center"/>
      <protection hidden="1"/>
    </xf>
    <xf numFmtId="0" fontId="43" fillId="0" borderId="19" xfId="87" applyNumberFormat="1" applyFont="1" applyBorder="1" applyAlignment="1" applyProtection="1">
      <alignment horizontal="center"/>
      <protection hidden="1"/>
    </xf>
    <xf numFmtId="0" fontId="133" fillId="25" borderId="0" xfId="103" applyNumberFormat="1" applyFont="1" applyFill="1" applyAlignment="1" applyProtection="1">
      <alignment/>
      <protection hidden="1"/>
    </xf>
    <xf numFmtId="0" fontId="135" fillId="25" borderId="0" xfId="103" applyNumberFormat="1" applyFont="1" applyFill="1" applyAlignment="1" applyProtection="1">
      <alignment/>
      <protection hidden="1"/>
    </xf>
    <xf numFmtId="0" fontId="26" fillId="25" borderId="0" xfId="104" applyNumberFormat="1" applyFont="1" applyFill="1" applyAlignment="1" applyProtection="1">
      <alignment horizontal="center" vertical="center" wrapText="1"/>
      <protection hidden="1"/>
    </xf>
    <xf numFmtId="0" fontId="0" fillId="0" borderId="0" xfId="118" applyNumberFormat="1" applyFont="1" applyAlignment="1" applyProtection="1">
      <alignment/>
      <protection hidden="1"/>
    </xf>
    <xf numFmtId="0" fontId="135" fillId="25" borderId="0" xfId="103" applyNumberFormat="1" applyFont="1" applyFill="1" applyAlignment="1" applyProtection="1">
      <alignment horizontal="center"/>
      <protection hidden="1"/>
    </xf>
    <xf numFmtId="0" fontId="0" fillId="0" borderId="0" xfId="118" applyNumberFormat="1" applyFont="1" applyAlignment="1" applyProtection="1">
      <alignment/>
      <protection hidden="1"/>
    </xf>
    <xf numFmtId="0" fontId="6" fillId="0" borderId="0" xfId="103" applyNumberFormat="1" applyFont="1" applyAlignment="1" applyProtection="1">
      <alignment/>
      <protection hidden="1"/>
    </xf>
    <xf numFmtId="0" fontId="176" fillId="25" borderId="0" xfId="87" applyNumberFormat="1" applyFont="1" applyFill="1" applyBorder="1" applyAlignment="1" applyProtection="1">
      <alignment horizontal="center"/>
      <protection hidden="1"/>
    </xf>
    <xf numFmtId="0" fontId="6" fillId="25" borderId="0" xfId="104" applyNumberFormat="1" applyFont="1" applyFill="1" applyProtection="1">
      <alignment/>
      <protection hidden="1"/>
    </xf>
    <xf numFmtId="0" fontId="0" fillId="25" borderId="0" xfId="118" applyNumberFormat="1" applyFill="1" applyProtection="1">
      <alignment/>
      <protection hidden="1"/>
    </xf>
    <xf numFmtId="0" fontId="6" fillId="25" borderId="0" xfId="103" applyNumberFormat="1" applyFont="1" applyFill="1" applyProtection="1">
      <alignment/>
      <protection hidden="1"/>
    </xf>
    <xf numFmtId="0" fontId="133" fillId="25" borderId="0" xfId="69" applyNumberFormat="1" applyFont="1" applyFill="1" applyAlignment="1" applyProtection="1">
      <alignment horizontal="left"/>
      <protection hidden="1"/>
    </xf>
    <xf numFmtId="0" fontId="6" fillId="25" borderId="0" xfId="104" applyNumberFormat="1" applyFont="1" applyFill="1" applyAlignment="1" applyProtection="1">
      <alignment vertical="center"/>
      <protection hidden="1"/>
    </xf>
    <xf numFmtId="0" fontId="3" fillId="25" borderId="0" xfId="104" applyNumberFormat="1" applyFont="1" applyFill="1" applyProtection="1">
      <alignment/>
      <protection hidden="1"/>
    </xf>
    <xf numFmtId="0" fontId="162" fillId="25" borderId="0" xfId="65" applyFont="1" applyFill="1" applyAlignment="1" applyProtection="1">
      <alignment vertical="center" readingOrder="1"/>
      <protection hidden="1"/>
    </xf>
    <xf numFmtId="0" fontId="162" fillId="25" borderId="0" xfId="65" applyFont="1" applyFill="1" applyAlignment="1" applyProtection="1">
      <alignment horizontal="left" vertical="center"/>
      <protection hidden="1"/>
    </xf>
    <xf numFmtId="0" fontId="162" fillId="0" borderId="0" xfId="65" applyFont="1" applyAlignment="1" applyProtection="1">
      <alignment/>
      <protection hidden="1"/>
    </xf>
    <xf numFmtId="0" fontId="6" fillId="25" borderId="0" xfId="104" applyNumberFormat="1" applyFont="1" applyFill="1" applyAlignment="1" applyProtection="1">
      <alignment vertical="center" wrapText="1"/>
      <protection hidden="1"/>
    </xf>
    <xf numFmtId="0" fontId="6" fillId="25" borderId="0" xfId="104" applyNumberFormat="1" applyFont="1" applyFill="1" applyAlignment="1" applyProtection="1">
      <alignment horizontal="center"/>
      <protection hidden="1"/>
    </xf>
    <xf numFmtId="0" fontId="133" fillId="25" borderId="0" xfId="104" applyNumberFormat="1" applyFont="1" applyFill="1" applyProtection="1">
      <alignment/>
      <protection hidden="1"/>
    </xf>
    <xf numFmtId="0" fontId="135" fillId="25" borderId="0" xfId="104" applyNumberFormat="1" applyFont="1" applyFill="1" applyProtection="1">
      <alignment/>
      <protection hidden="1"/>
    </xf>
    <xf numFmtId="0" fontId="11" fillId="25" borderId="0" xfId="103" applyNumberFormat="1" applyFont="1" applyFill="1" applyProtection="1">
      <alignment/>
      <protection hidden="1"/>
    </xf>
    <xf numFmtId="0" fontId="6" fillId="25" borderId="0" xfId="104" applyNumberFormat="1" applyFont="1" applyFill="1" applyAlignment="1" applyProtection="1">
      <alignment/>
      <protection hidden="1"/>
    </xf>
    <xf numFmtId="0" fontId="6" fillId="25" borderId="0" xfId="104" applyNumberFormat="1" applyFont="1" applyFill="1" applyAlignment="1" applyProtection="1">
      <alignment horizontal="right"/>
      <protection hidden="1"/>
    </xf>
    <xf numFmtId="0" fontId="6" fillId="25" borderId="0" xfId="104" applyNumberFormat="1" applyFont="1" applyFill="1" applyAlignment="1" applyProtection="1">
      <alignment horizontal="left"/>
      <protection hidden="1"/>
    </xf>
    <xf numFmtId="0" fontId="6" fillId="25" borderId="0" xfId="104" applyNumberFormat="1" applyFont="1" applyFill="1" applyBorder="1" applyAlignment="1" applyProtection="1">
      <alignment wrapText="1"/>
      <protection hidden="1"/>
    </xf>
    <xf numFmtId="0" fontId="6" fillId="4" borderId="19" xfId="104" applyNumberFormat="1" applyFont="1" applyFill="1" applyBorder="1" applyAlignment="1" applyProtection="1">
      <alignment horizontal="right"/>
      <protection hidden="1"/>
    </xf>
    <xf numFmtId="0" fontId="6" fillId="25" borderId="16" xfId="104" applyNumberFormat="1" applyFont="1" applyFill="1" applyBorder="1" applyAlignment="1" applyProtection="1">
      <alignment wrapText="1"/>
      <protection hidden="1"/>
    </xf>
    <xf numFmtId="0" fontId="6" fillId="24" borderId="19" xfId="104" applyNumberFormat="1" applyFont="1" applyFill="1" applyBorder="1" applyAlignment="1" applyProtection="1">
      <alignment/>
      <protection hidden="1"/>
    </xf>
    <xf numFmtId="0" fontId="133" fillId="25" borderId="0" xfId="104" applyNumberFormat="1" applyFont="1" applyFill="1" applyAlignment="1" applyProtection="1">
      <alignment horizontal="left"/>
      <protection hidden="1"/>
    </xf>
    <xf numFmtId="0" fontId="6" fillId="25" borderId="0" xfId="104" applyNumberFormat="1" applyFont="1" applyFill="1" applyAlignment="1" applyProtection="1">
      <alignment/>
      <protection hidden="1"/>
    </xf>
    <xf numFmtId="0" fontId="6" fillId="25" borderId="0" xfId="104" applyNumberFormat="1" applyFont="1" applyFill="1" applyAlignment="1" applyProtection="1">
      <alignment horizontal="right"/>
      <protection hidden="1"/>
    </xf>
    <xf numFmtId="0" fontId="0" fillId="25" borderId="0" xfId="104" applyNumberFormat="1" applyFill="1" applyAlignment="1" applyProtection="1">
      <alignment/>
      <protection hidden="1"/>
    </xf>
    <xf numFmtId="0" fontId="176" fillId="22" borderId="19" xfId="87" applyNumberFormat="1" applyFont="1" applyFill="1" applyBorder="1" applyAlignment="1" applyProtection="1">
      <alignment horizontal="center"/>
      <protection locked="0"/>
    </xf>
    <xf numFmtId="0" fontId="11" fillId="22" borderId="0" xfId="103" applyNumberFormat="1" applyFont="1" applyFill="1" applyProtection="1">
      <alignment/>
      <protection locked="0"/>
    </xf>
    <xf numFmtId="2" fontId="6" fillId="25" borderId="0" xfId="104" applyNumberFormat="1" applyFont="1" applyFill="1" applyAlignment="1" applyProtection="1">
      <alignment/>
      <protection hidden="1"/>
    </xf>
    <xf numFmtId="2" fontId="176" fillId="0" borderId="19" xfId="87" applyNumberFormat="1" applyFont="1" applyBorder="1" applyAlignment="1" applyProtection="1">
      <alignment horizontal="center"/>
      <protection hidden="1"/>
    </xf>
    <xf numFmtId="2" fontId="6" fillId="0" borderId="19" xfId="115" applyNumberFormat="1" applyFont="1" applyBorder="1" applyAlignment="1" applyProtection="1">
      <alignment horizontal="center"/>
      <protection hidden="1"/>
    </xf>
    <xf numFmtId="173" fontId="176" fillId="0" borderId="19" xfId="87" applyNumberFormat="1" applyFont="1" applyBorder="1" applyAlignment="1" applyProtection="1">
      <alignment horizontal="center"/>
      <protection hidden="1"/>
    </xf>
    <xf numFmtId="173" fontId="6" fillId="0" borderId="19" xfId="115" applyNumberFormat="1" applyFont="1" applyBorder="1" applyAlignment="1" applyProtection="1">
      <alignment horizontal="center"/>
      <protection hidden="1"/>
    </xf>
    <xf numFmtId="0" fontId="8" fillId="25" borderId="0" xfId="0" applyFont="1" applyFill="1" applyAlignment="1" applyProtection="1">
      <alignment vertical="center"/>
      <protection hidden="1"/>
    </xf>
    <xf numFmtId="0" fontId="2" fillId="25" borderId="0" xfId="65" applyFill="1" applyAlignment="1" applyProtection="1">
      <alignment/>
      <protection hidden="1"/>
    </xf>
    <xf numFmtId="0" fontId="0" fillId="25" borderId="0" xfId="0" applyFont="1" applyFill="1" applyAlignment="1" applyProtection="1">
      <alignment/>
      <protection hidden="1"/>
    </xf>
    <xf numFmtId="0" fontId="0" fillId="25" borderId="0" xfId="93" applyFont="1" applyFill="1" applyAlignment="1" applyProtection="1">
      <alignment/>
      <protection hidden="1"/>
    </xf>
    <xf numFmtId="0" fontId="25" fillId="25" borderId="0" xfId="0" applyFont="1" applyFill="1" applyAlignment="1" applyProtection="1">
      <alignment horizontal="center" vertical="center"/>
      <protection hidden="1"/>
    </xf>
    <xf numFmtId="0" fontId="24" fillId="25" borderId="0" xfId="0" applyFont="1" applyFill="1" applyAlignment="1" applyProtection="1">
      <alignment horizontal="center" vertical="center"/>
      <protection hidden="1"/>
    </xf>
    <xf numFmtId="0" fontId="162" fillId="25" borderId="0" xfId="65" applyFont="1" applyFill="1" applyAlignment="1" applyProtection="1">
      <alignment horizontal="left" vertical="center" readingOrder="1"/>
      <protection hidden="1"/>
    </xf>
    <xf numFmtId="0" fontId="7" fillId="25" borderId="0" xfId="117" applyFont="1" applyFill="1" applyBorder="1" applyAlignment="1" applyProtection="1">
      <alignment/>
      <protection hidden="1"/>
    </xf>
    <xf numFmtId="0" fontId="3" fillId="22" borderId="15" xfId="0" applyFont="1" applyFill="1" applyBorder="1" applyAlignment="1">
      <alignment/>
    </xf>
    <xf numFmtId="0" fontId="3" fillId="22" borderId="13" xfId="0" applyFont="1" applyFill="1" applyBorder="1" applyAlignment="1">
      <alignment/>
    </xf>
    <xf numFmtId="2" fontId="3" fillId="22" borderId="20" xfId="89" applyNumberFormat="1" applyFont="1" applyFill="1" applyBorder="1" applyAlignment="1" applyProtection="1">
      <alignment horizontal="center"/>
      <protection locked="0"/>
    </xf>
    <xf numFmtId="2" fontId="3" fillId="22" borderId="21" xfId="89" applyNumberFormat="1" applyFont="1" applyFill="1" applyBorder="1" applyAlignment="1" applyProtection="1">
      <alignment horizontal="center"/>
      <protection locked="0"/>
    </xf>
    <xf numFmtId="0" fontId="0" fillId="0" borderId="21" xfId="0" applyBorder="1" applyAlignment="1" applyProtection="1">
      <alignment horizontal="center"/>
      <protection hidden="1"/>
    </xf>
    <xf numFmtId="0" fontId="0" fillId="0" borderId="21" xfId="0" applyBorder="1" applyAlignment="1" applyProtection="1">
      <alignment horizontal="center"/>
      <protection locked="0"/>
    </xf>
    <xf numFmtId="0" fontId="3" fillId="25" borderId="0" xfId="89" applyFont="1" applyFill="1" applyAlignment="1" applyProtection="1">
      <alignment vertical="top" wrapText="1"/>
      <protection/>
    </xf>
    <xf numFmtId="0" fontId="0" fillId="0" borderId="0" xfId="0" applyAlignment="1">
      <alignment/>
    </xf>
    <xf numFmtId="0" fontId="17" fillId="0" borderId="26" xfId="0" applyFont="1" applyBorder="1" applyAlignment="1">
      <alignment/>
    </xf>
    <xf numFmtId="0" fontId="17" fillId="0" borderId="25" xfId="0" applyFont="1" applyBorder="1" applyAlignment="1">
      <alignment/>
    </xf>
    <xf numFmtId="0" fontId="17" fillId="0" borderId="13" xfId="0" applyFont="1" applyBorder="1" applyAlignment="1">
      <alignment/>
    </xf>
    <xf numFmtId="0" fontId="17" fillId="0" borderId="14" xfId="0" applyFont="1" applyBorder="1" applyAlignment="1">
      <alignment/>
    </xf>
    <xf numFmtId="0" fontId="43" fillId="25" borderId="10" xfId="117" applyFont="1" applyFill="1" applyBorder="1" applyAlignment="1" applyProtection="1">
      <alignment/>
      <protection hidden="1"/>
    </xf>
    <xf numFmtId="0" fontId="43" fillId="25" borderId="14" xfId="0" applyFont="1" applyFill="1" applyBorder="1" applyAlignment="1" applyProtection="1">
      <alignment/>
      <protection hidden="1"/>
    </xf>
    <xf numFmtId="0" fontId="66" fillId="25" borderId="0" xfId="87" applyFont="1" applyFill="1" applyProtection="1">
      <alignment/>
      <protection hidden="1"/>
    </xf>
    <xf numFmtId="0" fontId="3" fillId="25" borderId="27" xfId="89" applyFont="1" applyFill="1" applyBorder="1" applyAlignment="1" applyProtection="1">
      <alignment horizontal="left"/>
      <protection hidden="1"/>
    </xf>
    <xf numFmtId="0" fontId="3" fillId="25" borderId="21" xfId="89" applyFont="1" applyFill="1" applyBorder="1" applyAlignment="1" applyProtection="1">
      <alignment horizontal="left"/>
      <protection hidden="1"/>
    </xf>
    <xf numFmtId="0" fontId="3" fillId="25" borderId="0" xfId="89" applyFont="1" applyFill="1" applyAlignment="1" applyProtection="1">
      <alignment horizontal="left"/>
      <protection hidden="1"/>
    </xf>
    <xf numFmtId="1" fontId="3" fillId="25" borderId="0" xfId="0" applyNumberFormat="1" applyFont="1" applyFill="1" applyAlignment="1" applyProtection="1">
      <alignment horizontal="left"/>
      <protection hidden="1"/>
    </xf>
    <xf numFmtId="0" fontId="43" fillId="25" borderId="18" xfId="117" applyFont="1" applyFill="1" applyBorder="1" applyAlignment="1" applyProtection="1">
      <alignment/>
      <protection hidden="1"/>
    </xf>
    <xf numFmtId="0" fontId="43" fillId="25" borderId="16" xfId="0" applyFont="1" applyFill="1" applyBorder="1" applyAlignment="1" applyProtection="1">
      <alignment/>
      <protection hidden="1"/>
    </xf>
    <xf numFmtId="0" fontId="43" fillId="25" borderId="0" xfId="0" applyFont="1" applyFill="1" applyBorder="1" applyAlignment="1" applyProtection="1">
      <alignment/>
      <protection hidden="1"/>
    </xf>
    <xf numFmtId="0" fontId="7" fillId="25" borderId="0" xfId="0" applyFont="1" applyFill="1" applyBorder="1" applyAlignment="1" applyProtection="1">
      <alignment/>
      <protection hidden="1"/>
    </xf>
    <xf numFmtId="0" fontId="43" fillId="25" borderId="26" xfId="117" applyFont="1" applyFill="1" applyBorder="1" applyAlignment="1">
      <alignment vertical="top"/>
      <protection/>
    </xf>
    <xf numFmtId="0" fontId="43" fillId="25" borderId="13" xfId="117" applyFont="1" applyFill="1" applyBorder="1" applyAlignment="1">
      <alignment vertical="top"/>
      <protection/>
    </xf>
    <xf numFmtId="0" fontId="43" fillId="25" borderId="15" xfId="117" applyFont="1" applyFill="1" applyBorder="1" applyAlignment="1" applyProtection="1">
      <alignment/>
      <protection hidden="1"/>
    </xf>
    <xf numFmtId="0" fontId="3" fillId="25" borderId="0" xfId="117" applyNumberFormat="1" applyFont="1" applyFill="1" applyBorder="1" applyAlignment="1" applyProtection="1">
      <alignment horizontal="left" vertical="center" wrapText="1"/>
      <protection hidden="1"/>
    </xf>
    <xf numFmtId="0" fontId="66" fillId="25" borderId="10" xfId="117" applyFont="1" applyFill="1" applyBorder="1" applyAlignment="1">
      <alignment vertical="top"/>
      <protection/>
    </xf>
    <xf numFmtId="0" fontId="66" fillId="25" borderId="26" xfId="117" applyFont="1" applyFill="1" applyBorder="1" applyAlignment="1">
      <alignment vertical="top"/>
      <protection/>
    </xf>
    <xf numFmtId="0" fontId="66" fillId="25" borderId="25" xfId="117" applyFont="1" applyFill="1" applyBorder="1" applyAlignment="1">
      <alignment vertical="top"/>
      <protection/>
    </xf>
    <xf numFmtId="0" fontId="66" fillId="25" borderId="15" xfId="117" applyFont="1" applyFill="1" applyBorder="1" applyAlignment="1">
      <alignment vertical="top"/>
      <protection/>
    </xf>
    <xf numFmtId="0" fontId="66" fillId="25" borderId="13" xfId="117" applyFont="1" applyFill="1" applyBorder="1" applyAlignment="1">
      <alignment vertical="top"/>
      <protection/>
    </xf>
    <xf numFmtId="0" fontId="66" fillId="25" borderId="14" xfId="117" applyFont="1" applyFill="1" applyBorder="1" applyAlignment="1">
      <alignment vertical="top"/>
      <protection/>
    </xf>
    <xf numFmtId="0" fontId="47" fillId="25" borderId="0" xfId="81" applyFont="1" applyFill="1" applyAlignment="1" applyProtection="1">
      <alignment horizontal="left"/>
      <protection hidden="1"/>
    </xf>
    <xf numFmtId="0" fontId="46" fillId="0" borderId="0" xfId="0" applyFont="1" applyAlignment="1" applyProtection="1">
      <alignment/>
      <protection hidden="1"/>
    </xf>
    <xf numFmtId="0" fontId="3" fillId="25" borderId="0" xfId="89" applyFont="1" applyFill="1" applyAlignment="1" applyProtection="1">
      <alignment horizontal="right"/>
      <protection hidden="1"/>
    </xf>
    <xf numFmtId="0" fontId="0" fillId="0" borderId="0" xfId="0" applyAlignment="1">
      <alignment horizontal="right"/>
    </xf>
    <xf numFmtId="0" fontId="25" fillId="25" borderId="0" xfId="89" applyFont="1" applyFill="1" applyBorder="1" applyAlignment="1" applyProtection="1">
      <alignment/>
      <protection hidden="1"/>
    </xf>
    <xf numFmtId="0" fontId="48" fillId="25" borderId="0" xfId="65" applyFont="1" applyFill="1" applyAlignment="1" applyProtection="1">
      <alignment horizontal="left"/>
      <protection hidden="1"/>
    </xf>
    <xf numFmtId="0" fontId="48" fillId="0" borderId="0" xfId="65" applyFont="1" applyAlignment="1" applyProtection="1">
      <alignment horizontal="left"/>
      <protection/>
    </xf>
    <xf numFmtId="4" fontId="3" fillId="25" borderId="0" xfId="111" applyNumberFormat="1" applyFont="1" applyFill="1" applyAlignment="1" applyProtection="1">
      <alignment horizontal="left"/>
      <protection hidden="1"/>
    </xf>
    <xf numFmtId="0" fontId="48" fillId="25" borderId="0" xfId="65" applyFont="1" applyFill="1" applyAlignment="1" applyProtection="1">
      <alignment vertical="center" wrapText="1"/>
      <protection hidden="1"/>
    </xf>
    <xf numFmtId="0" fontId="3" fillId="25" borderId="0" xfId="84" applyFont="1" applyFill="1" applyAlignment="1" applyProtection="1">
      <alignment horizontal="right"/>
      <protection hidden="1"/>
    </xf>
    <xf numFmtId="0" fontId="3" fillId="0" borderId="0" xfId="111" applyFont="1" applyAlignment="1" applyProtection="1">
      <alignment horizontal="right"/>
      <protection hidden="1"/>
    </xf>
    <xf numFmtId="0" fontId="0" fillId="25" borderId="0" xfId="89" applyFont="1" applyFill="1" applyAlignment="1" applyProtection="1">
      <alignment horizontal="right"/>
      <protection hidden="1"/>
    </xf>
    <xf numFmtId="0" fontId="3" fillId="25" borderId="0" xfId="111" applyFont="1" applyFill="1" applyAlignment="1" applyProtection="1">
      <alignment horizontal="right"/>
      <protection hidden="1"/>
    </xf>
    <xf numFmtId="0" fontId="97" fillId="25" borderId="0" xfId="89" applyFont="1" applyFill="1" applyAlignment="1" applyProtection="1">
      <alignment horizontal="center"/>
      <protection/>
    </xf>
    <xf numFmtId="0" fontId="48" fillId="25" borderId="0" xfId="65" applyFont="1" applyFill="1" applyBorder="1" applyAlignment="1" applyProtection="1">
      <alignment/>
      <protection hidden="1"/>
    </xf>
    <xf numFmtId="0" fontId="0" fillId="0" borderId="0" xfId="0" applyBorder="1" applyAlignment="1">
      <alignment/>
    </xf>
    <xf numFmtId="0" fontId="0" fillId="25" borderId="0" xfId="89" applyFont="1" applyFill="1" applyAlignment="1">
      <alignment/>
      <protection/>
    </xf>
    <xf numFmtId="0" fontId="0" fillId="25" borderId="0" xfId="89" applyFont="1" applyFill="1" applyAlignment="1" applyProtection="1">
      <alignment/>
      <protection/>
    </xf>
    <xf numFmtId="0" fontId="0" fillId="25" borderId="0" xfId="0" applyFill="1" applyAlignment="1">
      <alignment/>
    </xf>
    <xf numFmtId="0" fontId="3" fillId="25" borderId="16" xfId="89" applyFont="1" applyFill="1" applyBorder="1" applyAlignment="1">
      <alignment horizontal="center" wrapText="1"/>
      <protection/>
    </xf>
    <xf numFmtId="0" fontId="3" fillId="25" borderId="18" xfId="89" applyFont="1" applyFill="1" applyBorder="1" applyAlignment="1">
      <alignment horizontal="center" wrapText="1"/>
      <protection/>
    </xf>
    <xf numFmtId="0" fontId="3" fillId="25" borderId="0" xfId="65" applyFont="1" applyFill="1" applyAlignment="1" applyProtection="1">
      <alignment horizontal="left" vertical="top" wrapText="1"/>
      <protection hidden="1"/>
    </xf>
    <xf numFmtId="0" fontId="3" fillId="0" borderId="0" xfId="0" applyFont="1" applyAlignment="1" applyProtection="1">
      <alignment/>
      <protection hidden="1"/>
    </xf>
    <xf numFmtId="0" fontId="3" fillId="25" borderId="16" xfId="89" applyFont="1" applyFill="1" applyBorder="1" applyAlignment="1" applyProtection="1">
      <alignment/>
      <protection/>
    </xf>
    <xf numFmtId="0" fontId="3" fillId="25" borderId="0" xfId="89" applyFont="1" applyFill="1" applyBorder="1" applyAlignment="1" applyProtection="1">
      <alignment/>
      <protection/>
    </xf>
    <xf numFmtId="0" fontId="48" fillId="25" borderId="16" xfId="65" applyFont="1" applyFill="1" applyBorder="1" applyAlignment="1" applyProtection="1">
      <alignment horizontal="left"/>
      <protection hidden="1"/>
    </xf>
    <xf numFmtId="0" fontId="48" fillId="25" borderId="0" xfId="65" applyFont="1" applyFill="1" applyBorder="1" applyAlignment="1" applyProtection="1">
      <alignment horizontal="left"/>
      <protection hidden="1"/>
    </xf>
    <xf numFmtId="0" fontId="0" fillId="25" borderId="0" xfId="89" applyFill="1" applyProtection="1">
      <alignment/>
      <protection/>
    </xf>
    <xf numFmtId="0" fontId="9" fillId="25" borderId="16" xfId="89" applyFont="1" applyFill="1" applyBorder="1" applyProtection="1">
      <alignment/>
      <protection hidden="1"/>
    </xf>
    <xf numFmtId="0" fontId="9" fillId="25" borderId="0" xfId="89" applyFont="1" applyFill="1" applyBorder="1" applyProtection="1">
      <alignment/>
      <protection hidden="1"/>
    </xf>
    <xf numFmtId="0" fontId="0" fillId="25" borderId="0" xfId="89" applyFont="1" applyFill="1" applyProtection="1">
      <alignment/>
      <protection/>
    </xf>
    <xf numFmtId="0" fontId="43" fillId="25" borderId="0" xfId="87" applyFont="1" applyFill="1" applyAlignment="1">
      <alignment horizontal="left"/>
      <protection/>
    </xf>
    <xf numFmtId="0" fontId="43" fillId="0" borderId="0" xfId="0" applyFont="1" applyAlignment="1">
      <alignment/>
    </xf>
    <xf numFmtId="0" fontId="3" fillId="25" borderId="20" xfId="95" applyFont="1" applyFill="1" applyBorder="1" applyAlignment="1" applyProtection="1">
      <alignment horizontal="right"/>
      <protection/>
    </xf>
    <xf numFmtId="0" fontId="3" fillId="25" borderId="27" xfId="95" applyFont="1" applyFill="1" applyBorder="1" applyAlignment="1" applyProtection="1">
      <alignment horizontal="right"/>
      <protection/>
    </xf>
    <xf numFmtId="0" fontId="3" fillId="25" borderId="21" xfId="95" applyFont="1" applyFill="1" applyBorder="1" applyAlignment="1" applyProtection="1">
      <alignment horizontal="right"/>
      <protection/>
    </xf>
    <xf numFmtId="0" fontId="46" fillId="25" borderId="0" xfId="89" applyFont="1" applyFill="1" applyProtection="1">
      <alignment/>
      <protection hidden="1"/>
    </xf>
    <xf numFmtId="0" fontId="3" fillId="25" borderId="0" xfId="0" applyFont="1" applyFill="1" applyAlignment="1" applyProtection="1">
      <alignment/>
      <protection hidden="1"/>
    </xf>
    <xf numFmtId="0" fontId="3" fillId="25" borderId="0" xfId="0" applyFont="1" applyFill="1" applyAlignment="1" applyProtection="1">
      <alignment/>
      <protection hidden="1"/>
    </xf>
    <xf numFmtId="0" fontId="3" fillId="25" borderId="0" xfId="89" applyFont="1" applyFill="1" applyProtection="1">
      <alignment/>
      <protection hidden="1"/>
    </xf>
    <xf numFmtId="2" fontId="98" fillId="25" borderId="20" xfId="89" applyNumberFormat="1" applyFont="1" applyFill="1" applyBorder="1" applyAlignment="1" applyProtection="1">
      <alignment horizontal="center"/>
      <protection hidden="1"/>
    </xf>
    <xf numFmtId="2" fontId="98" fillId="25" borderId="21" xfId="89" applyNumberFormat="1" applyFont="1" applyFill="1" applyBorder="1" applyAlignment="1" applyProtection="1">
      <alignment horizontal="center"/>
      <protection hidden="1"/>
    </xf>
    <xf numFmtId="0" fontId="48" fillId="0" borderId="0" xfId="65" applyFont="1" applyAlignment="1" applyProtection="1">
      <alignment vertical="top" wrapText="1"/>
      <protection/>
    </xf>
    <xf numFmtId="0" fontId="67" fillId="22" borderId="15" xfId="0" applyFont="1" applyFill="1" applyBorder="1" applyAlignment="1" applyProtection="1">
      <alignment/>
      <protection locked="0"/>
    </xf>
    <xf numFmtId="0" fontId="67" fillId="22" borderId="13" xfId="0" applyFont="1" applyFill="1" applyBorder="1" applyAlignment="1" applyProtection="1">
      <alignment/>
      <protection locked="0"/>
    </xf>
    <xf numFmtId="0" fontId="17" fillId="25" borderId="10" xfId="0" applyFont="1" applyFill="1" applyBorder="1" applyAlignment="1" applyProtection="1">
      <alignment/>
      <protection hidden="1"/>
    </xf>
    <xf numFmtId="0" fontId="17" fillId="25" borderId="26" xfId="0" applyFont="1" applyFill="1" applyBorder="1" applyAlignment="1" applyProtection="1">
      <alignment/>
      <protection hidden="1"/>
    </xf>
    <xf numFmtId="0" fontId="3" fillId="0" borderId="0" xfId="89" applyFont="1" applyBorder="1" applyAlignment="1" applyProtection="1">
      <alignment/>
      <protection hidden="1"/>
    </xf>
    <xf numFmtId="0" fontId="43" fillId="25" borderId="18" xfId="0" applyFont="1" applyFill="1" applyBorder="1" applyAlignment="1" applyProtection="1">
      <alignment/>
      <protection hidden="1"/>
    </xf>
    <xf numFmtId="0" fontId="98" fillId="25" borderId="0" xfId="0" applyFont="1" applyFill="1" applyBorder="1" applyAlignment="1">
      <alignment/>
    </xf>
    <xf numFmtId="0" fontId="43" fillId="25" borderId="13" xfId="0" applyFont="1" applyFill="1" applyBorder="1" applyAlignment="1" applyProtection="1">
      <alignment/>
      <protection hidden="1"/>
    </xf>
    <xf numFmtId="0" fontId="43" fillId="25" borderId="15" xfId="0" applyFont="1" applyFill="1" applyBorder="1" applyAlignment="1" applyProtection="1">
      <alignment/>
      <protection hidden="1"/>
    </xf>
    <xf numFmtId="0" fontId="3" fillId="0" borderId="0" xfId="0" applyFont="1" applyAlignment="1" applyProtection="1">
      <alignment/>
      <protection hidden="1"/>
    </xf>
    <xf numFmtId="0" fontId="3" fillId="25" borderId="26" xfId="0" applyFont="1" applyFill="1" applyBorder="1" applyAlignment="1" applyProtection="1">
      <alignment/>
      <protection hidden="1"/>
    </xf>
    <xf numFmtId="0" fontId="3" fillId="25" borderId="26" xfId="0" applyFont="1" applyFill="1" applyBorder="1" applyAlignment="1" applyProtection="1">
      <alignment horizontal="left"/>
      <protection hidden="1"/>
    </xf>
    <xf numFmtId="0" fontId="25" fillId="25" borderId="0" xfId="89" applyFont="1" applyFill="1" applyProtection="1">
      <alignment/>
      <protection hidden="1"/>
    </xf>
    <xf numFmtId="0" fontId="25" fillId="25" borderId="0" xfId="81" applyFont="1" applyFill="1" applyAlignment="1" applyProtection="1">
      <alignment horizontal="left"/>
      <protection/>
    </xf>
    <xf numFmtId="2" fontId="16" fillId="25" borderId="0" xfId="89" applyNumberFormat="1" applyFont="1" applyFill="1" applyAlignment="1" applyProtection="1">
      <alignment vertical="top" wrapText="1"/>
      <protection/>
    </xf>
    <xf numFmtId="0" fontId="46" fillId="25" borderId="13" xfId="0" applyFont="1" applyFill="1" applyBorder="1" applyAlignment="1" applyProtection="1">
      <alignment/>
      <protection hidden="1"/>
    </xf>
    <xf numFmtId="0" fontId="5" fillId="25" borderId="0" xfId="97" applyFont="1" applyFill="1" applyAlignment="1" applyProtection="1">
      <alignment horizontal="right"/>
      <protection/>
    </xf>
    <xf numFmtId="0" fontId="61" fillId="25" borderId="0" xfId="65" applyFont="1" applyFill="1" applyAlignment="1" applyProtection="1">
      <alignment horizontal="right"/>
      <protection hidden="1"/>
    </xf>
    <xf numFmtId="0" fontId="3" fillId="25" borderId="0" xfId="89" applyFont="1" applyFill="1" applyBorder="1" applyProtection="1">
      <alignment/>
      <protection hidden="1"/>
    </xf>
    <xf numFmtId="2" fontId="3" fillId="25" borderId="10" xfId="89" applyNumberFormat="1" applyFont="1" applyFill="1" applyBorder="1" applyAlignment="1" applyProtection="1">
      <alignment horizontal="center"/>
      <protection hidden="1"/>
    </xf>
    <xf numFmtId="2" fontId="3" fillId="25" borderId="26" xfId="89" applyNumberFormat="1" applyFont="1" applyFill="1" applyBorder="1" applyAlignment="1" applyProtection="1">
      <alignment horizontal="center"/>
      <protection hidden="1"/>
    </xf>
    <xf numFmtId="2" fontId="3" fillId="25" borderId="25" xfId="89" applyNumberFormat="1" applyFont="1" applyFill="1" applyBorder="1" applyAlignment="1" applyProtection="1">
      <alignment horizontal="center"/>
      <protection hidden="1"/>
    </xf>
    <xf numFmtId="0" fontId="4" fillId="25" borderId="0" xfId="111" applyFont="1" applyFill="1" applyBorder="1" applyAlignment="1" applyProtection="1">
      <alignment horizontal="left"/>
      <protection hidden="1"/>
    </xf>
    <xf numFmtId="0" fontId="43" fillId="25" borderId="14" xfId="0" applyFont="1" applyFill="1" applyBorder="1" applyAlignment="1" applyProtection="1">
      <alignment/>
      <protection hidden="1"/>
    </xf>
    <xf numFmtId="0" fontId="3" fillId="25" borderId="26" xfId="0" applyFont="1" applyFill="1" applyBorder="1" applyAlignment="1" applyProtection="1">
      <alignment horizontal="left" vertical="top" wrapText="1"/>
      <protection hidden="1"/>
    </xf>
    <xf numFmtId="0" fontId="3" fillId="25" borderId="0" xfId="0" applyFont="1" applyFill="1" applyBorder="1" applyAlignment="1" applyProtection="1">
      <alignment horizontal="left" vertical="top" wrapText="1"/>
      <protection hidden="1"/>
    </xf>
    <xf numFmtId="0" fontId="3" fillId="25" borderId="15" xfId="0" applyFont="1" applyFill="1" applyBorder="1" applyAlignment="1" applyProtection="1">
      <alignment horizontal="left"/>
      <protection hidden="1"/>
    </xf>
    <xf numFmtId="0" fontId="3" fillId="25" borderId="14" xfId="0" applyFont="1" applyFill="1" applyBorder="1" applyAlignment="1" applyProtection="1">
      <alignment horizontal="left"/>
      <protection hidden="1"/>
    </xf>
    <xf numFmtId="0" fontId="3" fillId="25" borderId="13" xfId="0" applyFont="1" applyFill="1" applyBorder="1" applyAlignment="1" applyProtection="1">
      <alignment/>
      <protection hidden="1"/>
    </xf>
    <xf numFmtId="0" fontId="3" fillId="25" borderId="0" xfId="0" applyFont="1" applyFill="1" applyBorder="1" applyAlignment="1" applyProtection="1">
      <alignment horizontal="left"/>
      <protection hidden="1"/>
    </xf>
    <xf numFmtId="0" fontId="0" fillId="25" borderId="0" xfId="89" applyFont="1" applyFill="1" applyAlignment="1" applyProtection="1">
      <alignment/>
      <protection hidden="1"/>
    </xf>
    <xf numFmtId="0" fontId="3" fillId="25" borderId="26" xfId="81" applyFont="1" applyFill="1" applyBorder="1" applyAlignment="1" applyProtection="1">
      <alignment horizontal="left"/>
      <protection hidden="1"/>
    </xf>
    <xf numFmtId="0" fontId="0" fillId="0" borderId="26" xfId="0" applyBorder="1" applyAlignment="1" applyProtection="1">
      <alignment/>
      <protection hidden="1"/>
    </xf>
    <xf numFmtId="0" fontId="51" fillId="25" borderId="0" xfId="89" applyFont="1" applyFill="1" applyAlignment="1" applyProtection="1">
      <alignment vertical="center" wrapText="1"/>
      <protection hidden="1"/>
    </xf>
    <xf numFmtId="0" fontId="3" fillId="25" borderId="0" xfId="111" applyFont="1" applyFill="1" applyProtection="1">
      <alignment/>
      <protection hidden="1"/>
    </xf>
    <xf numFmtId="0" fontId="3" fillId="25" borderId="56" xfId="89" applyFont="1" applyFill="1" applyBorder="1" applyAlignment="1" applyProtection="1">
      <alignment horizontal="center" vertical="center" wrapText="1"/>
      <protection/>
    </xf>
    <xf numFmtId="0" fontId="3" fillId="25" borderId="57" xfId="89" applyFont="1" applyFill="1" applyBorder="1" applyAlignment="1" applyProtection="1">
      <alignment horizontal="center" vertical="center" wrapText="1"/>
      <protection/>
    </xf>
    <xf numFmtId="0" fontId="3" fillId="25" borderId="16" xfId="95" applyFont="1" applyFill="1" applyBorder="1" applyAlignment="1" applyProtection="1">
      <alignment horizontal="left"/>
      <protection hidden="1"/>
    </xf>
    <xf numFmtId="0" fontId="3" fillId="25" borderId="0" xfId="95" applyFont="1" applyFill="1" applyBorder="1" applyAlignment="1" applyProtection="1">
      <alignment horizontal="left"/>
      <protection hidden="1"/>
    </xf>
    <xf numFmtId="172" fontId="3" fillId="25" borderId="16" xfId="89" applyNumberFormat="1" applyFont="1" applyFill="1" applyBorder="1" applyAlignment="1" applyProtection="1">
      <alignment horizontal="left"/>
      <protection hidden="1"/>
    </xf>
    <xf numFmtId="172" fontId="3" fillId="25" borderId="0" xfId="89" applyNumberFormat="1" applyFont="1" applyFill="1" applyBorder="1" applyAlignment="1" applyProtection="1">
      <alignment horizontal="left"/>
      <protection hidden="1"/>
    </xf>
    <xf numFmtId="172" fontId="10" fillId="25" borderId="20" xfId="111" applyNumberFormat="1" applyFont="1" applyFill="1" applyBorder="1" applyAlignment="1" applyProtection="1">
      <alignment/>
      <protection hidden="1"/>
    </xf>
    <xf numFmtId="172" fontId="10" fillId="25" borderId="27" xfId="111" applyNumberFormat="1" applyFont="1" applyFill="1" applyBorder="1" applyAlignment="1" applyProtection="1">
      <alignment/>
      <protection hidden="1"/>
    </xf>
    <xf numFmtId="0" fontId="3" fillId="0" borderId="27" xfId="84" applyFont="1" applyFill="1" applyBorder="1" applyAlignment="1" applyProtection="1">
      <alignment horizontal="left"/>
      <protection hidden="1"/>
    </xf>
    <xf numFmtId="0" fontId="3" fillId="0" borderId="21" xfId="84" applyFont="1" applyFill="1" applyBorder="1" applyAlignment="1" applyProtection="1">
      <alignment horizontal="left"/>
      <protection hidden="1"/>
    </xf>
    <xf numFmtId="0" fontId="43" fillId="31" borderId="20" xfId="87" applyFill="1" applyBorder="1" applyAlignment="1">
      <alignment/>
      <protection/>
    </xf>
    <xf numFmtId="0" fontId="43" fillId="31" borderId="21" xfId="87" applyFill="1" applyBorder="1" applyAlignment="1">
      <alignment/>
      <protection/>
    </xf>
    <xf numFmtId="1" fontId="17" fillId="25" borderId="16" xfId="89" applyNumberFormat="1" applyFont="1" applyFill="1" applyBorder="1" applyAlignment="1" applyProtection="1">
      <alignment horizontal="left"/>
      <protection hidden="1"/>
    </xf>
    <xf numFmtId="1" fontId="17" fillId="25" borderId="0" xfId="89" applyNumberFormat="1" applyFont="1" applyFill="1" applyBorder="1" applyAlignment="1" applyProtection="1">
      <alignment horizontal="left"/>
      <protection hidden="1"/>
    </xf>
    <xf numFmtId="0" fontId="3" fillId="25" borderId="0" xfId="84" applyFont="1" applyFill="1" applyBorder="1" applyAlignment="1" applyProtection="1">
      <alignment/>
      <protection hidden="1"/>
    </xf>
    <xf numFmtId="172" fontId="9" fillId="25" borderId="0" xfId="89" applyNumberFormat="1" applyFont="1" applyFill="1" applyBorder="1" applyAlignment="1" applyProtection="1">
      <alignment horizontal="right"/>
      <protection hidden="1"/>
    </xf>
    <xf numFmtId="172" fontId="9" fillId="25" borderId="18" xfId="89" applyNumberFormat="1" applyFont="1" applyFill="1" applyBorder="1" applyAlignment="1" applyProtection="1">
      <alignment horizontal="right"/>
      <protection hidden="1"/>
    </xf>
    <xf numFmtId="172" fontId="3" fillId="25" borderId="0" xfId="89" applyNumberFormat="1" applyFont="1" applyFill="1" applyBorder="1" applyAlignment="1" applyProtection="1">
      <alignment/>
      <protection hidden="1"/>
    </xf>
    <xf numFmtId="0" fontId="43" fillId="0" borderId="20" xfId="87" applyBorder="1" applyAlignment="1">
      <alignment/>
      <protection/>
    </xf>
    <xf numFmtId="0" fontId="43" fillId="0" borderId="21" xfId="87" applyBorder="1" applyAlignment="1">
      <alignment/>
      <protection/>
    </xf>
    <xf numFmtId="0" fontId="7" fillId="0" borderId="11" xfId="89" applyFont="1" applyBorder="1" applyAlignment="1">
      <alignment horizontal="center" wrapText="1"/>
      <protection/>
    </xf>
    <xf numFmtId="0" fontId="7" fillId="0" borderId="12" xfId="89" applyFont="1" applyBorder="1" applyAlignment="1">
      <alignment horizontal="center" wrapText="1"/>
      <protection/>
    </xf>
    <xf numFmtId="0" fontId="9" fillId="0" borderId="13" xfId="84" applyFont="1" applyFill="1" applyBorder="1" applyAlignment="1" applyProtection="1">
      <alignment horizontal="left"/>
      <protection hidden="1"/>
    </xf>
    <xf numFmtId="0" fontId="9" fillId="0" borderId="14" xfId="84" applyFont="1" applyFill="1" applyBorder="1" applyAlignment="1" applyProtection="1">
      <alignment horizontal="left"/>
      <protection hidden="1"/>
    </xf>
    <xf numFmtId="0" fontId="3" fillId="0" borderId="26" xfId="84" applyFont="1" applyFill="1" applyBorder="1" applyAlignment="1" applyProtection="1">
      <alignment horizontal="left"/>
      <protection hidden="1"/>
    </xf>
    <xf numFmtId="0" fontId="3" fillId="0" borderId="25" xfId="84" applyFont="1" applyFill="1" applyBorder="1" applyAlignment="1" applyProtection="1">
      <alignment horizontal="left"/>
      <protection hidden="1"/>
    </xf>
    <xf numFmtId="0" fontId="3" fillId="0" borderId="0" xfId="84" applyFont="1" applyBorder="1" applyAlignment="1" applyProtection="1">
      <alignment/>
      <protection hidden="1"/>
    </xf>
    <xf numFmtId="0" fontId="3" fillId="0" borderId="18" xfId="84" applyFont="1" applyBorder="1" applyAlignment="1" applyProtection="1">
      <alignment/>
      <protection hidden="1"/>
    </xf>
    <xf numFmtId="1" fontId="3" fillId="0" borderId="0" xfId="84" applyNumberFormat="1" applyFont="1" applyBorder="1" applyAlignment="1" applyProtection="1">
      <alignment/>
      <protection hidden="1"/>
    </xf>
    <xf numFmtId="1" fontId="3" fillId="0" borderId="18" xfId="84" applyNumberFormat="1" applyFont="1" applyBorder="1" applyAlignment="1" applyProtection="1">
      <alignment/>
      <protection hidden="1"/>
    </xf>
    <xf numFmtId="0" fontId="37" fillId="0" borderId="10" xfId="89" applyNumberFormat="1" applyFont="1" applyBorder="1" applyAlignment="1" applyProtection="1">
      <alignment horizontal="center" wrapText="1"/>
      <protection hidden="1"/>
    </xf>
    <xf numFmtId="0" fontId="37" fillId="0" borderId="25" xfId="89" applyNumberFormat="1" applyFont="1" applyBorder="1" applyAlignment="1" applyProtection="1">
      <alignment horizontal="center" wrapText="1"/>
      <protection hidden="1"/>
    </xf>
    <xf numFmtId="0" fontId="37" fillId="0" borderId="16" xfId="89" applyNumberFormat="1" applyFont="1" applyBorder="1" applyAlignment="1" applyProtection="1">
      <alignment horizontal="center" wrapText="1"/>
      <protection hidden="1"/>
    </xf>
    <xf numFmtId="0" fontId="37" fillId="0" borderId="18" xfId="89" applyNumberFormat="1" applyFont="1" applyBorder="1" applyAlignment="1" applyProtection="1">
      <alignment horizontal="center" wrapText="1"/>
      <protection hidden="1"/>
    </xf>
    <xf numFmtId="0" fontId="37" fillId="0" borderId="15" xfId="89" applyNumberFormat="1" applyFont="1" applyBorder="1" applyAlignment="1" applyProtection="1">
      <alignment horizontal="center" wrapText="1"/>
      <protection hidden="1"/>
    </xf>
    <xf numFmtId="0" fontId="37" fillId="0" borderId="14" xfId="89" applyNumberFormat="1" applyFont="1" applyBorder="1" applyAlignment="1" applyProtection="1">
      <alignment horizontal="center" wrapText="1"/>
      <protection hidden="1"/>
    </xf>
    <xf numFmtId="0" fontId="18" fillId="25" borderId="0" xfId="65" applyFont="1" applyFill="1" applyAlignment="1" applyProtection="1">
      <alignment horizontal="right"/>
      <protection hidden="1"/>
    </xf>
    <xf numFmtId="0" fontId="118" fillId="25" borderId="0" xfId="121" applyFont="1" applyFill="1" applyBorder="1" applyAlignment="1" applyProtection="1">
      <alignment/>
      <protection hidden="1"/>
    </xf>
    <xf numFmtId="0" fontId="3" fillId="25" borderId="13" xfId="89" applyFont="1" applyFill="1" applyBorder="1" applyAlignment="1" applyProtection="1">
      <alignment/>
      <protection hidden="1"/>
    </xf>
    <xf numFmtId="0" fontId="97" fillId="25" borderId="0" xfId="84" applyFont="1" applyFill="1" applyAlignment="1">
      <alignment horizontal="center"/>
      <protection/>
    </xf>
    <xf numFmtId="0" fontId="76" fillId="25" borderId="0" xfId="89" applyFont="1" applyFill="1" applyBorder="1" applyAlignment="1" applyProtection="1">
      <alignment horizontal="left"/>
      <protection hidden="1"/>
    </xf>
    <xf numFmtId="172" fontId="3" fillId="25" borderId="10" xfId="89" applyNumberFormat="1" applyFont="1" applyFill="1" applyBorder="1" applyAlignment="1" applyProtection="1">
      <alignment horizontal="left"/>
      <protection hidden="1"/>
    </xf>
    <xf numFmtId="172" fontId="3" fillId="25" borderId="26" xfId="89" applyNumberFormat="1" applyFont="1" applyFill="1" applyBorder="1" applyAlignment="1" applyProtection="1">
      <alignment horizontal="left"/>
      <protection hidden="1"/>
    </xf>
    <xf numFmtId="172" fontId="3" fillId="25" borderId="16" xfId="89" applyNumberFormat="1" applyFont="1" applyFill="1" applyBorder="1" applyAlignment="1" applyProtection="1">
      <alignment/>
      <protection hidden="1"/>
    </xf>
    <xf numFmtId="1" fontId="3" fillId="25" borderId="16" xfId="89" applyNumberFormat="1" applyFont="1" applyFill="1" applyBorder="1" applyAlignment="1" applyProtection="1">
      <alignment horizontal="left"/>
      <protection hidden="1"/>
    </xf>
    <xf numFmtId="1" fontId="3" fillId="25" borderId="0" xfId="89" applyNumberFormat="1" applyFont="1" applyFill="1" applyBorder="1" applyAlignment="1" applyProtection="1">
      <alignment horizontal="left"/>
      <protection hidden="1"/>
    </xf>
    <xf numFmtId="0" fontId="57" fillId="25" borderId="0" xfId="84" applyFont="1" applyFill="1" applyAlignment="1" applyProtection="1">
      <alignment horizontal="center"/>
      <protection/>
    </xf>
    <xf numFmtId="0" fontId="0" fillId="25" borderId="0" xfId="0" applyFill="1" applyAlignment="1">
      <alignment horizontal="center"/>
    </xf>
    <xf numFmtId="0" fontId="8" fillId="25" borderId="13" xfId="84" applyFont="1" applyFill="1" applyBorder="1" applyAlignment="1" applyProtection="1">
      <alignment/>
      <protection/>
    </xf>
    <xf numFmtId="0" fontId="52" fillId="25" borderId="15" xfId="111" applyFont="1" applyFill="1" applyBorder="1" applyAlignment="1" applyProtection="1">
      <alignment horizontal="center"/>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172" fontId="3" fillId="25" borderId="16" xfId="111" applyNumberFormat="1" applyFont="1" applyFill="1" applyBorder="1" applyAlignment="1" applyProtection="1">
      <alignment horizontal="left"/>
      <protection hidden="1"/>
    </xf>
    <xf numFmtId="172" fontId="3" fillId="25" borderId="0" xfId="111" applyNumberFormat="1" applyFont="1" applyFill="1" applyBorder="1" applyAlignment="1" applyProtection="1">
      <alignment horizontal="left"/>
      <protection hidden="1"/>
    </xf>
    <xf numFmtId="0" fontId="34" fillId="25" borderId="10" xfId="84" applyFont="1" applyFill="1" applyBorder="1" applyAlignment="1" applyProtection="1">
      <alignment horizontal="center"/>
      <protection hidden="1"/>
    </xf>
    <xf numFmtId="0" fontId="0" fillId="0" borderId="26" xfId="0" applyBorder="1" applyAlignment="1" applyProtection="1">
      <alignment horizontal="center"/>
      <protection hidden="1"/>
    </xf>
    <xf numFmtId="0" fontId="0" fillId="0" borderId="25" xfId="0" applyBorder="1" applyAlignment="1" applyProtection="1">
      <alignment horizontal="center"/>
      <protection hidden="1"/>
    </xf>
    <xf numFmtId="0" fontId="3" fillId="25" borderId="15" xfId="0" applyFont="1" applyFill="1" applyBorder="1" applyAlignment="1" applyProtection="1">
      <alignment/>
      <protection hidden="1"/>
    </xf>
    <xf numFmtId="0" fontId="3" fillId="25" borderId="10" xfId="111" applyFont="1" applyFill="1" applyBorder="1" applyAlignment="1">
      <alignment/>
      <protection/>
    </xf>
    <xf numFmtId="0" fontId="3" fillId="25" borderId="26" xfId="111" applyFont="1" applyFill="1" applyBorder="1" applyAlignment="1">
      <alignment/>
      <protection/>
    </xf>
    <xf numFmtId="0" fontId="0" fillId="25" borderId="26" xfId="84" applyFill="1" applyBorder="1" applyAlignment="1" applyProtection="1">
      <alignment/>
      <protection hidden="1"/>
    </xf>
    <xf numFmtId="0" fontId="0" fillId="0" borderId="25" xfId="0" applyBorder="1" applyAlignment="1">
      <alignment/>
    </xf>
    <xf numFmtId="0" fontId="0" fillId="0" borderId="18" xfId="0" applyBorder="1" applyAlignment="1">
      <alignment/>
    </xf>
    <xf numFmtId="0" fontId="0" fillId="0" borderId="13" xfId="0" applyBorder="1" applyAlignment="1">
      <alignment/>
    </xf>
    <xf numFmtId="0" fontId="0" fillId="0" borderId="14" xfId="0" applyBorder="1" applyAlignment="1">
      <alignment/>
    </xf>
    <xf numFmtId="0" fontId="53" fillId="25" borderId="15" xfId="84" applyFont="1" applyFill="1" applyBorder="1" applyAlignment="1" applyProtection="1">
      <alignment horizontal="center"/>
      <protection hidden="1"/>
    </xf>
    <xf numFmtId="0" fontId="3" fillId="25" borderId="16" xfId="84" applyFont="1" applyFill="1" applyBorder="1" applyAlignment="1" applyProtection="1">
      <alignment/>
      <protection/>
    </xf>
    <xf numFmtId="0" fontId="3" fillId="25" borderId="0" xfId="84" applyFont="1" applyFill="1" applyBorder="1" applyAlignment="1" applyProtection="1">
      <alignment/>
      <protection/>
    </xf>
    <xf numFmtId="0" fontId="26" fillId="25" borderId="0" xfId="84" applyFont="1" applyFill="1" applyAlignment="1" applyProtection="1">
      <alignment horizontal="center"/>
      <protection/>
    </xf>
    <xf numFmtId="0" fontId="55" fillId="25" borderId="15" xfId="84" applyFont="1" applyFill="1" applyBorder="1" applyAlignment="1" applyProtection="1">
      <alignment horizontal="center"/>
      <protection hidden="1"/>
    </xf>
    <xf numFmtId="0" fontId="3" fillId="25" borderId="13" xfId="84" applyFont="1" applyFill="1" applyBorder="1" applyAlignment="1" applyProtection="1">
      <alignment horizontal="right"/>
      <protection hidden="1"/>
    </xf>
    <xf numFmtId="0" fontId="3" fillId="25" borderId="0" xfId="84" applyFont="1" applyFill="1" applyAlignment="1" applyProtection="1">
      <alignment/>
      <protection hidden="1"/>
    </xf>
    <xf numFmtId="0" fontId="31" fillId="25" borderId="0" xfId="111" applyFont="1" applyFill="1" applyBorder="1" applyAlignment="1" applyProtection="1">
      <alignment horizontal="left"/>
      <protection/>
    </xf>
    <xf numFmtId="0" fontId="0" fillId="0" borderId="0" xfId="0" applyAlignment="1" applyProtection="1">
      <alignment/>
      <protection/>
    </xf>
    <xf numFmtId="0" fontId="48" fillId="25" borderId="0" xfId="65" applyFont="1" applyFill="1" applyAlignment="1" applyProtection="1">
      <alignment/>
      <protection/>
    </xf>
    <xf numFmtId="0" fontId="99" fillId="22" borderId="0" xfId="84" applyFont="1" applyFill="1" applyBorder="1" applyAlignment="1" applyProtection="1">
      <alignment/>
      <protection locked="0"/>
    </xf>
    <xf numFmtId="0" fontId="3" fillId="0" borderId="0" xfId="0" applyFont="1" applyBorder="1" applyAlignment="1">
      <alignment/>
    </xf>
    <xf numFmtId="0" fontId="3" fillId="0" borderId="13" xfId="0" applyFont="1" applyBorder="1" applyAlignment="1">
      <alignment/>
    </xf>
    <xf numFmtId="0" fontId="3" fillId="25" borderId="15" xfId="111" applyFont="1" applyFill="1" applyBorder="1" applyAlignment="1" applyProtection="1">
      <alignment horizontal="left"/>
      <protection hidden="1"/>
    </xf>
    <xf numFmtId="0" fontId="3" fillId="25" borderId="13" xfId="111" applyFont="1" applyFill="1" applyBorder="1" applyAlignment="1" applyProtection="1">
      <alignment horizontal="left"/>
      <protection hidden="1"/>
    </xf>
    <xf numFmtId="0" fontId="124" fillId="25" borderId="0" xfId="89" applyFont="1" applyFill="1" applyBorder="1" applyAlignment="1" applyProtection="1">
      <alignment horizontal="center"/>
      <protection hidden="1"/>
    </xf>
    <xf numFmtId="0" fontId="3" fillId="25" borderId="16" xfId="89" applyFont="1" applyFill="1" applyBorder="1" applyAlignment="1" applyProtection="1">
      <alignment horizontal="left"/>
      <protection hidden="1"/>
    </xf>
    <xf numFmtId="0" fontId="3" fillId="25" borderId="0" xfId="89" applyFont="1" applyFill="1" applyBorder="1" applyAlignment="1" applyProtection="1">
      <alignment horizontal="left"/>
      <protection hidden="1"/>
    </xf>
    <xf numFmtId="0" fontId="3" fillId="25" borderId="16" xfId="0" applyFont="1" applyFill="1" applyBorder="1" applyAlignment="1" applyProtection="1">
      <alignment/>
      <protection hidden="1"/>
    </xf>
    <xf numFmtId="0" fontId="3" fillId="25" borderId="0" xfId="0" applyFont="1" applyFill="1" applyBorder="1" applyAlignment="1" applyProtection="1">
      <alignment/>
      <protection hidden="1"/>
    </xf>
    <xf numFmtId="2" fontId="3" fillId="25" borderId="15" xfId="111" applyNumberFormat="1" applyFont="1" applyFill="1" applyBorder="1" applyAlignment="1" applyProtection="1">
      <alignment/>
      <protection hidden="1"/>
    </xf>
    <xf numFmtId="2" fontId="3" fillId="25" borderId="13" xfId="111" applyNumberFormat="1" applyFont="1" applyFill="1" applyBorder="1" applyAlignment="1" applyProtection="1">
      <alignment/>
      <protection hidden="1"/>
    </xf>
    <xf numFmtId="0" fontId="3" fillId="25" borderId="0" xfId="0" applyFont="1" applyFill="1" applyAlignment="1">
      <alignment/>
    </xf>
    <xf numFmtId="0" fontId="3" fillId="25" borderId="0" xfId="111" applyFont="1" applyFill="1" applyAlignment="1" applyProtection="1">
      <alignment vertical="top" wrapText="1"/>
      <protection hidden="1"/>
    </xf>
    <xf numFmtId="0" fontId="0" fillId="25" borderId="0" xfId="0" applyFill="1" applyAlignment="1">
      <alignment vertical="top" wrapText="1"/>
    </xf>
    <xf numFmtId="0" fontId="44" fillId="25" borderId="0" xfId="0" applyFont="1" applyFill="1" applyAlignment="1" applyProtection="1">
      <alignment/>
      <protection/>
    </xf>
    <xf numFmtId="0" fontId="3" fillId="25" borderId="0" xfId="111" applyFont="1" applyFill="1" applyAlignment="1">
      <alignment/>
      <protection/>
    </xf>
    <xf numFmtId="0" fontId="43" fillId="25" borderId="0" xfId="80" applyFont="1" applyFill="1" applyBorder="1" applyAlignment="1">
      <alignment horizontal="left" wrapText="1"/>
      <protection/>
    </xf>
    <xf numFmtId="0" fontId="43" fillId="25" borderId="13" xfId="80" applyFont="1" applyFill="1" applyBorder="1" applyAlignment="1">
      <alignment horizontal="left" wrapText="1"/>
      <protection/>
    </xf>
    <xf numFmtId="0" fontId="69" fillId="25" borderId="10" xfId="89" applyFont="1" applyFill="1" applyBorder="1" applyAlignment="1" applyProtection="1">
      <alignment/>
      <protection hidden="1"/>
    </xf>
    <xf numFmtId="0" fontId="69" fillId="25" borderId="26" xfId="89" applyFont="1" applyFill="1" applyBorder="1" applyAlignment="1" applyProtection="1">
      <alignment/>
      <protection hidden="1"/>
    </xf>
    <xf numFmtId="0" fontId="3" fillId="25" borderId="16" xfId="111" applyFill="1" applyBorder="1" applyAlignment="1" applyProtection="1">
      <alignment/>
      <protection hidden="1"/>
    </xf>
    <xf numFmtId="0" fontId="3" fillId="25" borderId="0" xfId="111" applyFill="1" applyBorder="1" applyAlignment="1" applyProtection="1">
      <alignment/>
      <protection hidden="1"/>
    </xf>
    <xf numFmtId="0" fontId="4" fillId="25" borderId="0" xfId="84" applyFont="1" applyFill="1" applyBorder="1" applyAlignment="1" applyProtection="1">
      <alignment horizontal="right"/>
      <protection hidden="1"/>
    </xf>
    <xf numFmtId="0" fontId="4" fillId="25" borderId="0" xfId="84" applyFont="1" applyFill="1" applyBorder="1" applyAlignment="1" applyProtection="1">
      <alignment horizontal="left"/>
      <protection hidden="1"/>
    </xf>
    <xf numFmtId="0" fontId="18" fillId="25" borderId="0" xfId="65" applyFont="1" applyFill="1" applyAlignment="1" applyProtection="1">
      <alignment horizontal="left"/>
      <protection hidden="1"/>
    </xf>
    <xf numFmtId="0" fontId="18" fillId="25" borderId="0" xfId="65" applyFont="1" applyFill="1" applyAlignment="1" applyProtection="1">
      <alignment/>
      <protection/>
    </xf>
    <xf numFmtId="0" fontId="18" fillId="25" borderId="0" xfId="65" applyFont="1" applyFill="1" applyBorder="1" applyAlignment="1" applyProtection="1">
      <alignment horizontal="left"/>
      <protection hidden="1"/>
    </xf>
    <xf numFmtId="0" fontId="4" fillId="25" borderId="0" xfId="105" applyFont="1" applyFill="1" applyBorder="1" applyAlignment="1" applyProtection="1">
      <alignment horizontal="right"/>
      <protection hidden="1"/>
    </xf>
    <xf numFmtId="0" fontId="4" fillId="25" borderId="0" xfId="111" applyFont="1" applyFill="1" applyBorder="1" applyAlignment="1" applyProtection="1">
      <alignment horizontal="right"/>
      <protection hidden="1"/>
    </xf>
    <xf numFmtId="0" fontId="3" fillId="0" borderId="0" xfId="84" applyFont="1" applyFill="1" applyBorder="1" applyAlignment="1" applyProtection="1">
      <alignment horizontal="left"/>
      <protection hidden="1"/>
    </xf>
    <xf numFmtId="0" fontId="3" fillId="0" borderId="18" xfId="84" applyFont="1" applyFill="1" applyBorder="1" applyAlignment="1" applyProtection="1">
      <alignment horizontal="left"/>
      <protection hidden="1"/>
    </xf>
    <xf numFmtId="0" fontId="48" fillId="0" borderId="0" xfId="65" applyFont="1" applyAlignment="1" applyProtection="1">
      <alignment/>
      <protection hidden="1"/>
    </xf>
    <xf numFmtId="0" fontId="3" fillId="25" borderId="0" xfId="84" applyFont="1" applyFill="1" applyBorder="1" applyAlignment="1" applyProtection="1">
      <alignment/>
      <protection hidden="1"/>
    </xf>
    <xf numFmtId="0" fontId="43" fillId="25" borderId="0" xfId="87" applyFont="1" applyFill="1" applyAlignment="1">
      <alignment vertical="top" wrapText="1"/>
      <protection/>
    </xf>
    <xf numFmtId="0" fontId="51" fillId="25" borderId="0" xfId="84" applyFont="1" applyFill="1" applyAlignment="1" applyProtection="1">
      <alignment/>
      <protection hidden="1"/>
    </xf>
    <xf numFmtId="0" fontId="56" fillId="25" borderId="0" xfId="84" applyFont="1" applyFill="1" applyBorder="1" applyAlignment="1" applyProtection="1">
      <alignment/>
      <protection hidden="1"/>
    </xf>
    <xf numFmtId="0" fontId="3" fillId="25" borderId="19" xfId="95" applyFont="1" applyFill="1" applyBorder="1" applyAlignment="1" applyProtection="1">
      <alignment horizontal="center"/>
      <protection/>
    </xf>
    <xf numFmtId="0" fontId="3" fillId="25" borderId="0" xfId="95" applyFont="1" applyFill="1" applyAlignment="1">
      <alignment horizontal="left"/>
      <protection/>
    </xf>
    <xf numFmtId="0" fontId="68" fillId="25" borderId="0" xfId="87" applyFont="1" applyFill="1" applyAlignment="1">
      <alignment/>
      <protection/>
    </xf>
    <xf numFmtId="1" fontId="3" fillId="22" borderId="19" xfId="95" applyNumberFormat="1" applyFont="1" applyFill="1" applyBorder="1" applyAlignment="1" applyProtection="1">
      <alignment horizontal="center"/>
      <protection locked="0"/>
    </xf>
    <xf numFmtId="0" fontId="48" fillId="0" borderId="0" xfId="65" applyFont="1" applyFill="1" applyBorder="1" applyAlignment="1" applyProtection="1">
      <alignment/>
      <protection hidden="1"/>
    </xf>
    <xf numFmtId="0" fontId="48" fillId="0" borderId="18" xfId="65" applyFont="1" applyFill="1" applyBorder="1" applyAlignment="1" applyProtection="1">
      <alignment/>
      <protection hidden="1"/>
    </xf>
    <xf numFmtId="0" fontId="192" fillId="25" borderId="0" xfId="111" applyFont="1" applyFill="1" applyAlignment="1" applyProtection="1">
      <alignment/>
      <protection hidden="1"/>
    </xf>
    <xf numFmtId="0" fontId="21" fillId="0" borderId="0" xfId="0" applyFont="1" applyAlignment="1">
      <alignment/>
    </xf>
    <xf numFmtId="0" fontId="15" fillId="25" borderId="0" xfId="101" applyFont="1" applyFill="1" applyBorder="1" applyAlignment="1" applyProtection="1">
      <alignment horizontal="left"/>
      <protection hidden="1"/>
    </xf>
    <xf numFmtId="0" fontId="3" fillId="25" borderId="0" xfId="111" applyFont="1" applyFill="1" applyProtection="1">
      <alignment/>
      <protection/>
    </xf>
    <xf numFmtId="172" fontId="19" fillId="25" borderId="0" xfId="89" applyNumberFormat="1" applyFont="1" applyFill="1" applyBorder="1" applyAlignment="1" applyProtection="1">
      <alignment horizontal="center"/>
      <protection/>
    </xf>
    <xf numFmtId="0" fontId="19" fillId="25" borderId="0" xfId="89" applyFont="1" applyFill="1" applyBorder="1" applyAlignment="1" applyProtection="1">
      <alignment horizontal="center"/>
      <protection/>
    </xf>
    <xf numFmtId="0" fontId="3" fillId="0" borderId="0" xfId="89" applyFont="1" applyFill="1" applyBorder="1" applyProtection="1">
      <alignment/>
      <protection hidden="1"/>
    </xf>
    <xf numFmtId="0" fontId="4" fillId="25" borderId="0" xfId="0" applyFont="1" applyFill="1" applyBorder="1" applyAlignment="1" applyProtection="1">
      <alignment vertical="center"/>
      <protection hidden="1"/>
    </xf>
    <xf numFmtId="0" fontId="3" fillId="0" borderId="0" xfId="89" applyFont="1" applyFill="1" applyBorder="1" applyAlignment="1" applyProtection="1">
      <alignment/>
      <protection hidden="1"/>
    </xf>
    <xf numFmtId="0" fontId="3" fillId="0" borderId="18" xfId="89" applyFont="1" applyFill="1" applyBorder="1" applyAlignment="1" applyProtection="1">
      <alignment/>
      <protection hidden="1"/>
    </xf>
    <xf numFmtId="0" fontId="48" fillId="0" borderId="13" xfId="65" applyFont="1" applyBorder="1" applyAlignment="1" applyProtection="1">
      <alignment/>
      <protection hidden="1"/>
    </xf>
    <xf numFmtId="0" fontId="9" fillId="0" borderId="0" xfId="89" applyFont="1" applyFill="1" applyBorder="1" applyAlignment="1" applyProtection="1">
      <alignment/>
      <protection hidden="1"/>
    </xf>
    <xf numFmtId="0" fontId="9" fillId="0" borderId="18" xfId="89" applyFont="1" applyFill="1" applyBorder="1" applyAlignment="1" applyProtection="1">
      <alignment/>
      <protection hidden="1"/>
    </xf>
    <xf numFmtId="0" fontId="113" fillId="25" borderId="26" xfId="0" applyFont="1" applyFill="1" applyBorder="1" applyAlignment="1" applyProtection="1">
      <alignment/>
      <protection hidden="1"/>
    </xf>
    <xf numFmtId="0" fontId="113" fillId="25" borderId="25" xfId="0" applyFont="1" applyFill="1" applyBorder="1" applyAlignment="1" applyProtection="1">
      <alignment/>
      <protection hidden="1"/>
    </xf>
    <xf numFmtId="0" fontId="54" fillId="25" borderId="0" xfId="0" applyFont="1" applyFill="1" applyBorder="1" applyAlignment="1" applyProtection="1">
      <alignment/>
      <protection hidden="1"/>
    </xf>
    <xf numFmtId="0" fontId="54" fillId="25" borderId="18" xfId="0" applyFont="1" applyFill="1" applyBorder="1" applyAlignment="1" applyProtection="1">
      <alignment/>
      <protection hidden="1"/>
    </xf>
    <xf numFmtId="0" fontId="64" fillId="25" borderId="13" xfId="0" applyFont="1" applyFill="1" applyBorder="1" applyAlignment="1" applyProtection="1">
      <alignment/>
      <protection hidden="1"/>
    </xf>
    <xf numFmtId="0" fontId="64" fillId="25" borderId="14" xfId="0" applyFont="1" applyFill="1" applyBorder="1" applyAlignment="1" applyProtection="1">
      <alignment/>
      <protection hidden="1"/>
    </xf>
    <xf numFmtId="2" fontId="3" fillId="25" borderId="27" xfId="84" applyNumberFormat="1" applyFont="1" applyFill="1" applyBorder="1" applyAlignment="1" applyProtection="1">
      <alignment/>
      <protection hidden="1"/>
    </xf>
    <xf numFmtId="2" fontId="3" fillId="25" borderId="21" xfId="84" applyNumberFormat="1" applyFont="1" applyFill="1" applyBorder="1" applyAlignment="1" applyProtection="1">
      <alignment/>
      <protection hidden="1"/>
    </xf>
    <xf numFmtId="0" fontId="41" fillId="25" borderId="0" xfId="0" applyFont="1" applyFill="1" applyBorder="1" applyAlignment="1">
      <alignment/>
    </xf>
    <xf numFmtId="0" fontId="41" fillId="25" borderId="18" xfId="0" applyFont="1" applyFill="1" applyBorder="1" applyAlignment="1">
      <alignment/>
    </xf>
    <xf numFmtId="0" fontId="48" fillId="0" borderId="19" xfId="65" applyFont="1" applyBorder="1" applyAlignment="1" applyProtection="1">
      <alignment/>
      <protection/>
    </xf>
    <xf numFmtId="0" fontId="4" fillId="25" borderId="27" xfId="84" applyFont="1" applyFill="1" applyBorder="1" applyAlignment="1" applyProtection="1">
      <alignment/>
      <protection/>
    </xf>
    <xf numFmtId="0" fontId="4" fillId="25" borderId="21" xfId="84" applyFont="1" applyFill="1" applyBorder="1" applyAlignment="1" applyProtection="1">
      <alignment/>
      <protection/>
    </xf>
    <xf numFmtId="0" fontId="48" fillId="0" borderId="20" xfId="65" applyFont="1" applyBorder="1" applyAlignment="1" applyProtection="1">
      <alignment/>
      <protection/>
    </xf>
    <xf numFmtId="0" fontId="48" fillId="0" borderId="21" xfId="65" applyFont="1" applyBorder="1" applyAlignment="1" applyProtection="1">
      <alignment/>
      <protection/>
    </xf>
    <xf numFmtId="0" fontId="39" fillId="25" borderId="26" xfId="0" applyFont="1" applyFill="1" applyBorder="1" applyAlignment="1" applyProtection="1">
      <alignment/>
      <protection hidden="1"/>
    </xf>
    <xf numFmtId="0" fontId="39" fillId="25" borderId="25" xfId="0" applyFont="1" applyFill="1" applyBorder="1" applyAlignment="1" applyProtection="1">
      <alignment/>
      <protection hidden="1"/>
    </xf>
    <xf numFmtId="0" fontId="3" fillId="25" borderId="0" xfId="84" applyFont="1" applyFill="1" applyAlignment="1" applyProtection="1">
      <alignment/>
      <protection/>
    </xf>
    <xf numFmtId="172" fontId="7" fillId="25" borderId="0" xfId="89" applyNumberFormat="1" applyFont="1" applyFill="1" applyBorder="1" applyAlignment="1" applyProtection="1">
      <alignment/>
      <protection hidden="1"/>
    </xf>
    <xf numFmtId="0" fontId="3" fillId="25" borderId="10" xfId="89" applyFont="1" applyFill="1" applyBorder="1" applyAlignment="1" applyProtection="1">
      <alignment/>
      <protection hidden="1"/>
    </xf>
    <xf numFmtId="0" fontId="0" fillId="0" borderId="25" xfId="0" applyBorder="1" applyAlignment="1" applyProtection="1">
      <alignment/>
      <protection/>
    </xf>
    <xf numFmtId="0" fontId="0" fillId="0" borderId="16" xfId="0" applyBorder="1" applyAlignment="1" applyProtection="1">
      <alignment/>
      <protection/>
    </xf>
    <xf numFmtId="0" fontId="0" fillId="0" borderId="18" xfId="0" applyBorder="1" applyAlignment="1" applyProtection="1">
      <alignment/>
      <protection/>
    </xf>
    <xf numFmtId="0" fontId="0" fillId="0" borderId="15" xfId="0" applyBorder="1" applyAlignment="1">
      <alignment/>
    </xf>
    <xf numFmtId="0" fontId="48" fillId="0" borderId="0" xfId="65" applyFont="1" applyAlignment="1" applyProtection="1">
      <alignment/>
      <protection/>
    </xf>
    <xf numFmtId="0" fontId="54" fillId="25" borderId="13" xfId="0" applyFont="1" applyFill="1" applyBorder="1" applyAlignment="1" applyProtection="1">
      <alignment/>
      <protection hidden="1"/>
    </xf>
    <xf numFmtId="0" fontId="54" fillId="25" borderId="14" xfId="0" applyFont="1" applyFill="1" applyBorder="1" applyAlignment="1" applyProtection="1">
      <alignment/>
      <protection hidden="1"/>
    </xf>
    <xf numFmtId="0" fontId="48" fillId="25" borderId="0" xfId="65" applyFont="1" applyFill="1" applyAlignment="1" applyProtection="1">
      <alignment horizontal="left" wrapText="1"/>
      <protection hidden="1"/>
    </xf>
    <xf numFmtId="0" fontId="7" fillId="25" borderId="0" xfId="89" applyFont="1" applyFill="1" applyAlignment="1" applyProtection="1">
      <alignment/>
      <protection/>
    </xf>
    <xf numFmtId="0" fontId="36" fillId="22" borderId="13" xfId="111" applyFont="1" applyFill="1" applyBorder="1" applyAlignment="1" applyProtection="1">
      <alignment/>
      <protection locked="0"/>
    </xf>
    <xf numFmtId="0" fontId="43" fillId="0" borderId="19" xfId="87" applyBorder="1" applyAlignment="1">
      <alignment/>
      <protection/>
    </xf>
    <xf numFmtId="0" fontId="127" fillId="25" borderId="26" xfId="89" applyFont="1" applyFill="1" applyBorder="1" applyAlignment="1" applyProtection="1">
      <alignment horizontal="left"/>
      <protection hidden="1"/>
    </xf>
    <xf numFmtId="0" fontId="3" fillId="25" borderId="13" xfId="89" applyFont="1" applyFill="1" applyBorder="1" applyAlignment="1" applyProtection="1">
      <alignment horizontal="right"/>
      <protection hidden="1"/>
    </xf>
    <xf numFmtId="2" fontId="3" fillId="25" borderId="0" xfId="111" applyNumberFormat="1" applyFont="1" applyFill="1" applyBorder="1" applyAlignment="1" applyProtection="1">
      <alignment/>
      <protection hidden="1"/>
    </xf>
    <xf numFmtId="0" fontId="27" fillId="25" borderId="26" xfId="89" applyFont="1" applyFill="1" applyBorder="1" applyAlignment="1" applyProtection="1">
      <alignment horizontal="center"/>
      <protection hidden="1"/>
    </xf>
    <xf numFmtId="0" fontId="34" fillId="25" borderId="10" xfId="89" applyFont="1" applyFill="1" applyBorder="1" applyAlignment="1" applyProtection="1">
      <alignment horizontal="center"/>
      <protection hidden="1"/>
    </xf>
    <xf numFmtId="0" fontId="0" fillId="0" borderId="26" xfId="0" applyBorder="1" applyAlignment="1" applyProtection="1">
      <alignment horizontal="center"/>
      <protection/>
    </xf>
    <xf numFmtId="0" fontId="0" fillId="0" borderId="25" xfId="0" applyBorder="1" applyAlignment="1" applyProtection="1">
      <alignment horizontal="center"/>
      <protection/>
    </xf>
    <xf numFmtId="0" fontId="97" fillId="25" borderId="13" xfId="120" applyFont="1" applyFill="1" applyBorder="1" applyAlignment="1" applyProtection="1">
      <alignment horizontal="center" vertical="center"/>
      <protection hidden="1"/>
    </xf>
    <xf numFmtId="189" fontId="139" fillId="25" borderId="26" xfId="89" applyNumberFormat="1" applyFont="1" applyFill="1" applyBorder="1" applyAlignment="1" applyProtection="1">
      <alignment horizontal="center" vertical="center" wrapText="1"/>
      <protection/>
    </xf>
    <xf numFmtId="172" fontId="37" fillId="0" borderId="10" xfId="89" applyNumberFormat="1" applyFont="1" applyBorder="1" applyAlignment="1" applyProtection="1">
      <alignment horizontal="center" wrapText="1"/>
      <protection/>
    </xf>
    <xf numFmtId="172" fontId="37" fillId="0" borderId="25" xfId="89" applyNumberFormat="1" applyFont="1" applyBorder="1" applyAlignment="1" applyProtection="1">
      <alignment horizontal="center" wrapText="1"/>
      <protection/>
    </xf>
    <xf numFmtId="172" fontId="37" fillId="0" borderId="16" xfId="89" applyNumberFormat="1" applyFont="1" applyBorder="1" applyAlignment="1" applyProtection="1">
      <alignment horizontal="center" wrapText="1"/>
      <protection/>
    </xf>
    <xf numFmtId="172" fontId="37" fillId="0" borderId="18" xfId="89" applyNumberFormat="1" applyFont="1" applyBorder="1" applyAlignment="1" applyProtection="1">
      <alignment horizontal="center" wrapText="1"/>
      <protection/>
    </xf>
    <xf numFmtId="0" fontId="5" fillId="25" borderId="0" xfId="97" applyFont="1" applyFill="1" applyBorder="1" applyAlignment="1" applyProtection="1">
      <alignment horizontal="right"/>
      <protection/>
    </xf>
    <xf numFmtId="189" fontId="64" fillId="25" borderId="0" xfId="89" applyNumberFormat="1" applyFont="1" applyFill="1" applyBorder="1" applyAlignment="1" applyProtection="1">
      <alignment horizontal="center" vertical="center" wrapText="1"/>
      <protection/>
    </xf>
    <xf numFmtId="0" fontId="53" fillId="25" borderId="15" xfId="89" applyFont="1" applyFill="1" applyBorder="1" applyAlignment="1" applyProtection="1">
      <alignment horizontal="center"/>
      <protection hidden="1"/>
    </xf>
    <xf numFmtId="0" fontId="107" fillId="0" borderId="13" xfId="0" applyFont="1" applyBorder="1" applyAlignment="1" applyProtection="1">
      <alignment horizontal="center"/>
      <protection/>
    </xf>
    <xf numFmtId="0" fontId="107" fillId="0" borderId="14" xfId="0" applyFont="1" applyBorder="1" applyAlignment="1" applyProtection="1">
      <alignment horizontal="center"/>
      <protection/>
    </xf>
    <xf numFmtId="0" fontId="97" fillId="25" borderId="0" xfId="89" applyFont="1" applyFill="1" applyAlignment="1">
      <alignment horizontal="center" wrapText="1"/>
      <protection/>
    </xf>
    <xf numFmtId="1" fontId="12" fillId="25" borderId="15" xfId="89" applyNumberFormat="1" applyFont="1" applyFill="1" applyBorder="1" applyAlignment="1" applyProtection="1">
      <alignment horizontal="center" vertical="center" wrapText="1"/>
      <protection/>
    </xf>
    <xf numFmtId="1" fontId="12" fillId="25" borderId="14" xfId="89" applyNumberFormat="1" applyFont="1" applyFill="1" applyBorder="1" applyAlignment="1" applyProtection="1">
      <alignment horizontal="center" vertical="center" wrapText="1"/>
      <protection/>
    </xf>
    <xf numFmtId="0" fontId="3" fillId="25" borderId="19" xfId="0" applyFont="1" applyFill="1" applyBorder="1" applyAlignment="1" applyProtection="1">
      <alignment horizontal="center"/>
      <protection/>
    </xf>
    <xf numFmtId="0" fontId="55" fillId="25" borderId="15" xfId="89" applyFont="1" applyFill="1" applyBorder="1" applyAlignment="1" applyProtection="1">
      <alignment horizontal="center"/>
      <protection hidden="1"/>
    </xf>
    <xf numFmtId="0" fontId="55" fillId="25" borderId="13" xfId="89" applyFont="1" applyFill="1" applyBorder="1" applyAlignment="1" applyProtection="1">
      <alignment horizontal="center"/>
      <protection hidden="1"/>
    </xf>
    <xf numFmtId="0" fontId="55" fillId="25" borderId="14" xfId="89" applyFont="1" applyFill="1" applyBorder="1" applyAlignment="1" applyProtection="1">
      <alignment horizontal="center"/>
      <protection hidden="1"/>
    </xf>
    <xf numFmtId="0" fontId="125" fillId="25" borderId="26" xfId="89" applyFont="1" applyFill="1" applyBorder="1" applyAlignment="1" applyProtection="1">
      <alignment horizontal="left"/>
      <protection hidden="1"/>
    </xf>
    <xf numFmtId="0" fontId="125" fillId="25" borderId="25" xfId="89" applyFont="1" applyFill="1" applyBorder="1" applyAlignment="1" applyProtection="1">
      <alignment horizontal="left"/>
      <protection hidden="1"/>
    </xf>
    <xf numFmtId="1" fontId="137" fillId="25" borderId="10" xfId="89" applyNumberFormat="1" applyFont="1" applyFill="1" applyBorder="1" applyAlignment="1" applyProtection="1">
      <alignment horizontal="center" vertical="center" wrapText="1"/>
      <protection/>
    </xf>
    <xf numFmtId="1" fontId="137" fillId="25" borderId="25" xfId="89" applyNumberFormat="1" applyFont="1" applyFill="1" applyBorder="1" applyAlignment="1" applyProtection="1">
      <alignment horizontal="center" vertical="center" wrapText="1"/>
      <protection/>
    </xf>
    <xf numFmtId="1" fontId="3" fillId="25" borderId="16" xfId="89" applyNumberFormat="1" applyFont="1" applyFill="1" applyBorder="1" applyAlignment="1" applyProtection="1">
      <alignment horizontal="center" vertical="center" wrapText="1"/>
      <protection/>
    </xf>
    <xf numFmtId="1" fontId="3" fillId="25" borderId="18" xfId="89" applyNumberFormat="1" applyFont="1" applyFill="1" applyBorder="1" applyAlignment="1" applyProtection="1">
      <alignment horizontal="center" vertical="center" wrapText="1"/>
      <protection/>
    </xf>
    <xf numFmtId="1" fontId="12" fillId="25" borderId="16" xfId="89" applyNumberFormat="1" applyFont="1" applyFill="1" applyBorder="1" applyAlignment="1" applyProtection="1">
      <alignment horizontal="center" vertical="center" wrapText="1"/>
      <protection/>
    </xf>
    <xf numFmtId="1" fontId="12" fillId="25" borderId="18" xfId="89" applyNumberFormat="1" applyFont="1" applyFill="1" applyBorder="1" applyAlignment="1" applyProtection="1">
      <alignment horizontal="center" vertical="center" wrapText="1"/>
      <protection/>
    </xf>
    <xf numFmtId="1" fontId="6" fillId="25" borderId="10" xfId="89" applyNumberFormat="1" applyFont="1" applyFill="1" applyBorder="1" applyAlignment="1" applyProtection="1">
      <alignment horizontal="center" vertical="center" wrapText="1"/>
      <protection/>
    </xf>
    <xf numFmtId="1" fontId="6" fillId="25" borderId="25" xfId="89" applyNumberFormat="1" applyFont="1" applyFill="1" applyBorder="1" applyAlignment="1" applyProtection="1">
      <alignment horizontal="center" vertical="center" wrapText="1"/>
      <protection/>
    </xf>
    <xf numFmtId="0" fontId="0" fillId="25" borderId="0" xfId="89" applyFont="1" applyFill="1" applyAlignment="1" applyProtection="1">
      <alignment/>
      <protection hidden="1"/>
    </xf>
    <xf numFmtId="0" fontId="8" fillId="7" borderId="10" xfId="89" applyFont="1" applyFill="1" applyBorder="1" applyAlignment="1">
      <alignment horizontal="center" vertical="center" textRotation="90"/>
      <protection/>
    </xf>
    <xf numFmtId="0" fontId="8" fillId="7" borderId="16" xfId="89" applyFont="1" applyFill="1" applyBorder="1" applyAlignment="1">
      <alignment horizontal="center" vertical="center" textRotation="90"/>
      <protection/>
    </xf>
    <xf numFmtId="0" fontId="8" fillId="29" borderId="16" xfId="89" applyFont="1" applyFill="1" applyBorder="1" applyAlignment="1">
      <alignment horizontal="center" vertical="center" textRotation="90"/>
      <protection/>
    </xf>
    <xf numFmtId="0" fontId="8" fillId="25" borderId="0" xfId="89" applyFont="1" applyFill="1" applyBorder="1" applyAlignment="1" applyProtection="1">
      <alignment/>
      <protection hidden="1"/>
    </xf>
    <xf numFmtId="0" fontId="35" fillId="25" borderId="0" xfId="76" applyFont="1" applyFill="1" applyBorder="1" applyAlignment="1">
      <alignment horizontal="left"/>
      <protection/>
    </xf>
    <xf numFmtId="0" fontId="3" fillId="0" borderId="20" xfId="89" applyFont="1" applyBorder="1" applyAlignment="1" applyProtection="1">
      <alignment/>
      <protection hidden="1"/>
    </xf>
    <xf numFmtId="0" fontId="0" fillId="0" borderId="21" xfId="0" applyFont="1" applyBorder="1" applyAlignment="1" applyProtection="1">
      <alignment/>
      <protection hidden="1"/>
    </xf>
    <xf numFmtId="0" fontId="35" fillId="25" borderId="0" xfId="76" applyFont="1" applyFill="1" applyAlignment="1">
      <alignment horizontal="left"/>
      <protection/>
    </xf>
    <xf numFmtId="0" fontId="7" fillId="4" borderId="16" xfId="89" applyFont="1" applyFill="1" applyBorder="1" applyAlignment="1">
      <alignment horizontal="center" vertical="center" textRotation="90"/>
      <protection/>
    </xf>
    <xf numFmtId="0" fontId="7" fillId="4" borderId="15" xfId="89" applyFont="1" applyFill="1" applyBorder="1" applyAlignment="1">
      <alignment horizontal="center" vertical="center" textRotation="90"/>
      <protection/>
    </xf>
    <xf numFmtId="0" fontId="4" fillId="25" borderId="20" xfId="84" applyFont="1" applyFill="1" applyBorder="1" applyAlignment="1">
      <alignment horizontal="left"/>
      <protection/>
    </xf>
    <xf numFmtId="0" fontId="4" fillId="25" borderId="27" xfId="84" applyFont="1" applyFill="1" applyBorder="1" applyAlignment="1">
      <alignment horizontal="left"/>
      <protection/>
    </xf>
    <xf numFmtId="0" fontId="4" fillId="25" borderId="21" xfId="84" applyFont="1" applyFill="1" applyBorder="1" applyAlignment="1">
      <alignment horizontal="left"/>
      <protection/>
    </xf>
    <xf numFmtId="0" fontId="3" fillId="0" borderId="0" xfId="89" applyFont="1" applyAlignment="1">
      <alignment vertical="top" wrapText="1"/>
      <protection/>
    </xf>
    <xf numFmtId="0" fontId="3" fillId="0" borderId="0" xfId="0" applyFont="1" applyAlignment="1">
      <alignment vertical="top" wrapText="1"/>
    </xf>
    <xf numFmtId="0" fontId="3" fillId="0" borderId="0" xfId="0" applyFont="1" applyAlignment="1">
      <alignment/>
    </xf>
    <xf numFmtId="0" fontId="192" fillId="25" borderId="0" xfId="111" applyFont="1" applyFill="1" applyAlignment="1" applyProtection="1">
      <alignment/>
      <protection/>
    </xf>
    <xf numFmtId="0" fontId="21" fillId="25" borderId="0" xfId="0" applyFont="1" applyFill="1" applyAlignment="1">
      <alignment/>
    </xf>
    <xf numFmtId="0" fontId="7" fillId="7" borderId="10" xfId="89" applyFont="1" applyFill="1" applyBorder="1" applyAlignment="1">
      <alignment horizontal="center" vertical="center" textRotation="90"/>
      <protection/>
    </xf>
    <xf numFmtId="0" fontId="7" fillId="7" borderId="16" xfId="89" applyFont="1" applyFill="1" applyBorder="1" applyAlignment="1">
      <alignment horizontal="center" vertical="center" textRotation="90"/>
      <protection/>
    </xf>
    <xf numFmtId="0" fontId="37" fillId="0" borderId="0" xfId="89" applyFont="1" applyFill="1" applyBorder="1" applyAlignment="1" applyProtection="1">
      <alignment horizontal="center"/>
      <protection hidden="1"/>
    </xf>
    <xf numFmtId="0" fontId="61" fillId="0" borderId="0" xfId="65" applyFont="1" applyFill="1" applyBorder="1" applyAlignment="1" applyProtection="1">
      <alignment/>
      <protection/>
    </xf>
    <xf numFmtId="0" fontId="61" fillId="0" borderId="18" xfId="65" applyFont="1" applyFill="1" applyBorder="1" applyAlignment="1" applyProtection="1">
      <alignment/>
      <protection/>
    </xf>
    <xf numFmtId="0" fontId="48" fillId="0" borderId="0" xfId="65" applyFont="1" applyBorder="1" applyAlignment="1" applyProtection="1">
      <alignment horizontal="left"/>
      <protection hidden="1"/>
    </xf>
    <xf numFmtId="0" fontId="48" fillId="0" borderId="18" xfId="65" applyFont="1" applyBorder="1" applyAlignment="1" applyProtection="1">
      <alignment horizontal="left"/>
      <protection hidden="1"/>
    </xf>
    <xf numFmtId="0" fontId="18" fillId="25" borderId="0" xfId="65" applyFont="1" applyFill="1" applyAlignment="1" applyProtection="1">
      <alignment horizontal="left"/>
      <protection/>
    </xf>
    <xf numFmtId="1" fontId="4" fillId="0" borderId="0" xfId="89" applyNumberFormat="1" applyFont="1" applyAlignment="1" applyProtection="1">
      <alignment vertical="top" wrapText="1"/>
      <protection locked="0"/>
    </xf>
    <xf numFmtId="0" fontId="2" fillId="25" borderId="13" xfId="65" applyFill="1" applyBorder="1" applyAlignment="1" applyProtection="1">
      <alignment horizontal="right"/>
      <protection hidden="1"/>
    </xf>
    <xf numFmtId="172" fontId="9" fillId="25" borderId="0" xfId="89" applyNumberFormat="1" applyFont="1" applyFill="1" applyBorder="1" applyAlignment="1" applyProtection="1">
      <alignment/>
      <protection hidden="1"/>
    </xf>
    <xf numFmtId="1" fontId="3" fillId="25" borderId="15" xfId="89" applyNumberFormat="1" applyFont="1" applyFill="1" applyBorder="1" applyAlignment="1" applyProtection="1">
      <alignment horizontal="center" vertical="center" wrapText="1"/>
      <protection/>
    </xf>
    <xf numFmtId="1" fontId="3" fillId="25" borderId="14" xfId="89" applyNumberFormat="1" applyFont="1" applyFill="1" applyBorder="1" applyAlignment="1" applyProtection="1">
      <alignment horizontal="center" vertical="center" wrapText="1"/>
      <protection/>
    </xf>
    <xf numFmtId="0" fontId="9" fillId="0" borderId="16" xfId="89" applyFont="1" applyFill="1" applyBorder="1" applyAlignment="1" applyProtection="1">
      <alignment horizontal="left"/>
      <protection hidden="1"/>
    </xf>
    <xf numFmtId="0" fontId="9" fillId="0" borderId="18" xfId="89" applyFont="1" applyFill="1" applyBorder="1" applyAlignment="1" applyProtection="1">
      <alignment horizontal="left"/>
      <protection hidden="1"/>
    </xf>
    <xf numFmtId="0" fontId="3" fillId="0" borderId="15" xfId="89" applyFont="1" applyFill="1" applyBorder="1" applyAlignment="1" applyProtection="1">
      <alignment horizontal="left"/>
      <protection hidden="1"/>
    </xf>
    <xf numFmtId="0" fontId="3" fillId="0" borderId="14" xfId="89" applyFont="1" applyFill="1" applyBorder="1" applyAlignment="1" applyProtection="1">
      <alignment horizontal="left"/>
      <protection hidden="1"/>
    </xf>
    <xf numFmtId="0" fontId="3" fillId="0" borderId="10" xfId="89" applyFont="1" applyFill="1" applyBorder="1" applyAlignment="1" applyProtection="1">
      <alignment horizontal="left"/>
      <protection hidden="1"/>
    </xf>
    <xf numFmtId="0" fontId="3" fillId="0" borderId="25" xfId="89" applyFont="1" applyFill="1" applyBorder="1" applyAlignment="1" applyProtection="1">
      <alignment horizontal="left"/>
      <protection hidden="1"/>
    </xf>
    <xf numFmtId="0" fontId="3" fillId="0" borderId="16" xfId="89" applyFont="1" applyBorder="1" applyAlignment="1" applyProtection="1">
      <alignment/>
      <protection hidden="1"/>
    </xf>
    <xf numFmtId="0" fontId="3" fillId="0" borderId="18" xfId="89" applyFont="1" applyBorder="1" applyAlignment="1" applyProtection="1">
      <alignment/>
      <protection hidden="1"/>
    </xf>
    <xf numFmtId="1" fontId="3" fillId="0" borderId="16" xfId="89" applyNumberFormat="1" applyFont="1" applyBorder="1" applyAlignment="1" applyProtection="1">
      <alignment/>
      <protection hidden="1"/>
    </xf>
    <xf numFmtId="1" fontId="3" fillId="0" borderId="18" xfId="89" applyNumberFormat="1" applyFont="1" applyBorder="1" applyAlignment="1" applyProtection="1">
      <alignment/>
      <protection hidden="1"/>
    </xf>
    <xf numFmtId="0" fontId="3" fillId="0" borderId="16" xfId="89" applyFont="1" applyFill="1" applyBorder="1" applyAlignment="1" applyProtection="1">
      <alignment horizontal="left"/>
      <protection hidden="1"/>
    </xf>
    <xf numFmtId="0" fontId="3" fillId="0" borderId="18" xfId="89" applyFont="1" applyFill="1" applyBorder="1" applyAlignment="1" applyProtection="1">
      <alignment horizontal="left"/>
      <protection hidden="1"/>
    </xf>
    <xf numFmtId="172" fontId="0" fillId="25" borderId="13" xfId="81" applyNumberFormat="1" applyFont="1" applyFill="1" applyBorder="1" applyAlignment="1" applyProtection="1">
      <alignment/>
      <protection/>
    </xf>
    <xf numFmtId="0" fontId="0" fillId="0" borderId="13" xfId="0" applyFont="1" applyBorder="1" applyAlignment="1" applyProtection="1">
      <alignment/>
      <protection/>
    </xf>
    <xf numFmtId="173" fontId="46" fillId="25" borderId="10" xfId="81" applyNumberFormat="1" applyFont="1" applyFill="1" applyBorder="1" applyAlignment="1" applyProtection="1">
      <alignment horizontal="center" wrapText="1"/>
      <protection hidden="1"/>
    </xf>
    <xf numFmtId="173" fontId="46" fillId="25" borderId="25" xfId="81" applyNumberFormat="1" applyFont="1" applyFill="1" applyBorder="1" applyAlignment="1" applyProtection="1">
      <alignment horizontal="center" wrapText="1"/>
      <protection hidden="1"/>
    </xf>
    <xf numFmtId="2" fontId="155" fillId="25" borderId="10" xfId="81" applyNumberFormat="1" applyFont="1" applyFill="1" applyBorder="1" applyAlignment="1" applyProtection="1">
      <alignment horizontal="center" wrapText="1"/>
      <protection hidden="1"/>
    </xf>
    <xf numFmtId="0" fontId="0" fillId="0" borderId="25" xfId="0" applyFont="1" applyBorder="1" applyAlignment="1" applyProtection="1">
      <alignment horizontal="center" wrapText="1"/>
      <protection hidden="1"/>
    </xf>
    <xf numFmtId="173" fontId="97" fillId="25" borderId="0" xfId="82" applyNumberFormat="1" applyFont="1" applyFill="1" applyAlignment="1" applyProtection="1">
      <alignment horizontal="center"/>
      <protection hidden="1"/>
    </xf>
    <xf numFmtId="0" fontId="3" fillId="25" borderId="0" xfId="108" applyFont="1" applyFill="1" applyBorder="1" applyAlignment="1" applyProtection="1">
      <alignment/>
      <protection/>
    </xf>
    <xf numFmtId="0" fontId="0" fillId="25" borderId="0" xfId="0" applyFill="1" applyBorder="1" applyAlignment="1">
      <alignment/>
    </xf>
    <xf numFmtId="0" fontId="46" fillId="25" borderId="0" xfId="81" applyFont="1" applyFill="1" applyAlignment="1" applyProtection="1">
      <alignment/>
      <protection/>
    </xf>
    <xf numFmtId="0" fontId="0" fillId="0" borderId="0" xfId="0" applyFont="1" applyAlignment="1" applyProtection="1">
      <alignment/>
      <protection/>
    </xf>
    <xf numFmtId="0" fontId="3" fillId="25" borderId="0" xfId="93" applyFont="1" applyFill="1" applyBorder="1" applyAlignment="1" applyProtection="1">
      <alignment/>
      <protection hidden="1"/>
    </xf>
    <xf numFmtId="0" fontId="0" fillId="25" borderId="0" xfId="0" applyFill="1" applyBorder="1" applyAlignment="1" applyProtection="1">
      <alignment/>
      <protection hidden="1"/>
    </xf>
    <xf numFmtId="0" fontId="105" fillId="25" borderId="0" xfId="81" applyFont="1" applyFill="1" applyAlignment="1" applyProtection="1">
      <alignment/>
      <protection hidden="1"/>
    </xf>
    <xf numFmtId="0" fontId="3" fillId="25" borderId="0" xfId="81" applyFont="1" applyFill="1" applyAlignment="1" applyProtection="1">
      <alignment/>
      <protection hidden="1"/>
    </xf>
    <xf numFmtId="14" fontId="4" fillId="25" borderId="0" xfId="106" applyNumberFormat="1" applyFont="1" applyFill="1" applyAlignment="1" applyProtection="1">
      <alignment vertical="center"/>
      <protection hidden="1"/>
    </xf>
    <xf numFmtId="0" fontId="5" fillId="25" borderId="0" xfId="98" applyFont="1" applyFill="1" applyAlignment="1" applyProtection="1">
      <alignment horizontal="right"/>
      <protection hidden="1"/>
    </xf>
    <xf numFmtId="0" fontId="18" fillId="25" borderId="13" xfId="65" applyFont="1" applyFill="1" applyBorder="1" applyAlignment="1" applyProtection="1">
      <alignment horizontal="right"/>
      <protection hidden="1"/>
    </xf>
    <xf numFmtId="191" fontId="105" fillId="25" borderId="10" xfId="81" applyNumberFormat="1" applyFont="1" applyFill="1" applyBorder="1" applyAlignment="1" applyProtection="1">
      <alignment horizontal="center" vertical="center" wrapText="1"/>
      <protection hidden="1"/>
    </xf>
    <xf numFmtId="191" fontId="105" fillId="25" borderId="25" xfId="81" applyNumberFormat="1" applyFont="1" applyFill="1" applyBorder="1" applyAlignment="1" applyProtection="1">
      <alignment horizontal="center" vertical="center" wrapText="1"/>
      <protection hidden="1"/>
    </xf>
    <xf numFmtId="0" fontId="18" fillId="25" borderId="0" xfId="65" applyFont="1" applyFill="1" applyBorder="1" applyAlignment="1" applyProtection="1">
      <alignment horizontal="left"/>
      <protection hidden="1"/>
    </xf>
    <xf numFmtId="0" fontId="8" fillId="25" borderId="0" xfId="81" applyFont="1" applyFill="1" applyAlignment="1" applyProtection="1">
      <alignment horizontal="left"/>
      <protection hidden="1"/>
    </xf>
    <xf numFmtId="2" fontId="3" fillId="25" borderId="26" xfId="81" applyNumberFormat="1" applyFont="1" applyFill="1" applyBorder="1" applyAlignment="1" applyProtection="1">
      <alignment horizontal="left" vertical="top" wrapText="1"/>
      <protection hidden="1"/>
    </xf>
    <xf numFmtId="0" fontId="3" fillId="0" borderId="26"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173" fontId="0" fillId="25" borderId="0" xfId="81" applyNumberFormat="1" applyFont="1" applyFill="1" applyBorder="1" applyAlignment="1" applyProtection="1">
      <alignment horizontal="left" wrapText="1"/>
      <protection hidden="1"/>
    </xf>
    <xf numFmtId="0" fontId="18" fillId="25" borderId="0" xfId="65" applyFont="1" applyFill="1" applyAlignment="1" applyProtection="1">
      <alignment horizontal="left"/>
      <protection hidden="1"/>
    </xf>
    <xf numFmtId="0" fontId="0" fillId="25" borderId="0" xfId="108" applyFont="1" applyFill="1" applyAlignment="1" applyProtection="1">
      <alignment vertical="top" wrapText="1"/>
      <protection hidden="1"/>
    </xf>
    <xf numFmtId="0" fontId="24" fillId="25" borderId="0" xfId="81" applyFont="1" applyFill="1" applyAlignment="1" applyProtection="1">
      <alignment horizontal="center"/>
      <protection hidden="1"/>
    </xf>
    <xf numFmtId="0" fontId="103" fillId="25" borderId="0" xfId="101" applyFont="1" applyFill="1" applyBorder="1" applyAlignment="1" applyProtection="1">
      <alignment horizontal="left"/>
      <protection hidden="1"/>
    </xf>
    <xf numFmtId="0" fontId="8" fillId="25" borderId="0" xfId="108" applyFont="1" applyFill="1" applyAlignment="1" applyProtection="1">
      <alignment horizontal="right"/>
      <protection hidden="1"/>
    </xf>
    <xf numFmtId="173" fontId="46" fillId="25" borderId="16" xfId="81" applyNumberFormat="1" applyFont="1" applyFill="1" applyBorder="1" applyAlignment="1" applyProtection="1">
      <alignment horizontal="center" wrapText="1"/>
      <protection hidden="1"/>
    </xf>
    <xf numFmtId="173" fontId="46" fillId="25" borderId="18" xfId="81" applyNumberFormat="1" applyFont="1" applyFill="1" applyBorder="1" applyAlignment="1" applyProtection="1">
      <alignment horizontal="center" wrapText="1"/>
      <protection hidden="1"/>
    </xf>
    <xf numFmtId="2" fontId="155" fillId="25" borderId="16" xfId="65" applyNumberFormat="1" applyFont="1" applyFill="1" applyBorder="1" applyAlignment="1" applyProtection="1">
      <alignment horizontal="center" wrapText="1"/>
      <protection hidden="1"/>
    </xf>
    <xf numFmtId="0" fontId="0" fillId="0" borderId="18" xfId="0" applyFont="1" applyBorder="1" applyAlignment="1" applyProtection="1">
      <alignment horizontal="center" wrapText="1"/>
      <protection hidden="1"/>
    </xf>
    <xf numFmtId="2" fontId="46" fillId="25" borderId="13" xfId="81" applyNumberFormat="1" applyFont="1" applyFill="1" applyBorder="1" applyAlignment="1" applyProtection="1">
      <alignment horizontal="center"/>
      <protection hidden="1"/>
    </xf>
    <xf numFmtId="0" fontId="0" fillId="0" borderId="13" xfId="0" applyBorder="1" applyAlignment="1">
      <alignment horizontal="center"/>
    </xf>
    <xf numFmtId="0" fontId="0" fillId="25" borderId="16" xfId="89" applyFont="1" applyFill="1" applyBorder="1" applyAlignment="1" applyProtection="1">
      <alignment horizontal="right"/>
      <protection hidden="1"/>
    </xf>
    <xf numFmtId="0" fontId="0" fillId="25" borderId="0" xfId="89" applyFont="1" applyFill="1" applyBorder="1" applyAlignment="1" applyProtection="1">
      <alignment horizontal="right"/>
      <protection hidden="1"/>
    </xf>
    <xf numFmtId="173" fontId="155" fillId="25" borderId="16" xfId="65" applyNumberFormat="1" applyFont="1" applyFill="1" applyBorder="1" applyAlignment="1" applyProtection="1">
      <alignment horizontal="center" wrapText="1"/>
      <protection hidden="1"/>
    </xf>
    <xf numFmtId="0" fontId="0" fillId="25" borderId="11" xfId="121" applyFont="1" applyFill="1" applyBorder="1" applyAlignment="1" applyProtection="1">
      <alignment horizontal="center" vertical="center"/>
      <protection hidden="1"/>
    </xf>
    <xf numFmtId="0" fontId="0" fillId="25" borderId="12" xfId="121" applyFont="1" applyFill="1" applyBorder="1" applyAlignment="1" applyProtection="1">
      <alignment horizontal="center" vertical="center"/>
      <protection hidden="1"/>
    </xf>
    <xf numFmtId="178" fontId="46" fillId="25" borderId="10" xfId="81" applyNumberFormat="1" applyFont="1" applyFill="1" applyBorder="1" applyAlignment="1" applyProtection="1">
      <alignment horizontal="center" wrapText="1"/>
      <protection hidden="1"/>
    </xf>
    <xf numFmtId="173" fontId="155" fillId="25" borderId="10" xfId="81" applyNumberFormat="1" applyFont="1" applyFill="1" applyBorder="1" applyAlignment="1" applyProtection="1">
      <alignment horizontal="center" wrapText="1"/>
      <protection hidden="1"/>
    </xf>
    <xf numFmtId="0" fontId="0" fillId="25" borderId="0" xfId="81" applyNumberFormat="1" applyFont="1" applyFill="1" applyBorder="1" applyAlignment="1" applyProtection="1">
      <alignment horizontal="fill" wrapText="1"/>
      <protection hidden="1"/>
    </xf>
    <xf numFmtId="0" fontId="0" fillId="25" borderId="0" xfId="0" applyFont="1" applyFill="1" applyBorder="1" applyAlignment="1" applyProtection="1">
      <alignment wrapText="1"/>
      <protection hidden="1"/>
    </xf>
    <xf numFmtId="2" fontId="46" fillId="25" borderId="20" xfId="81" applyNumberFormat="1" applyFont="1" applyFill="1" applyBorder="1" applyAlignment="1" applyProtection="1">
      <alignment horizontal="center"/>
      <protection hidden="1"/>
    </xf>
    <xf numFmtId="0" fontId="0" fillId="0" borderId="27" xfId="0" applyBorder="1" applyAlignment="1">
      <alignment horizontal="center"/>
    </xf>
    <xf numFmtId="0" fontId="0" fillId="0" borderId="21" xfId="0" applyBorder="1" applyAlignment="1">
      <alignment horizontal="center"/>
    </xf>
    <xf numFmtId="0" fontId="0" fillId="0" borderId="20" xfId="0" applyFont="1" applyBorder="1" applyAlignment="1" applyProtection="1">
      <alignment horizontal="left"/>
      <protection hidden="1"/>
    </xf>
    <xf numFmtId="0" fontId="0" fillId="0" borderId="27" xfId="0" applyFont="1" applyBorder="1" applyAlignment="1" applyProtection="1">
      <alignment horizontal="left"/>
      <protection hidden="1"/>
    </xf>
    <xf numFmtId="0" fontId="0" fillId="0" borderId="21" xfId="0" applyFont="1" applyBorder="1" applyAlignment="1" applyProtection="1">
      <alignment horizontal="left"/>
      <protection hidden="1"/>
    </xf>
    <xf numFmtId="0" fontId="0" fillId="25" borderId="0" xfId="121" applyFont="1" applyFill="1" applyAlignment="1" applyProtection="1">
      <alignment/>
      <protection hidden="1"/>
    </xf>
    <xf numFmtId="172" fontId="0" fillId="25" borderId="0" xfId="81" applyNumberFormat="1" applyFont="1" applyFill="1" applyBorder="1" applyAlignment="1" applyProtection="1">
      <alignment/>
      <protection hidden="1"/>
    </xf>
    <xf numFmtId="0" fontId="0" fillId="25" borderId="0" xfId="0" applyFont="1" applyFill="1" applyBorder="1" applyAlignment="1" applyProtection="1">
      <alignment/>
      <protection hidden="1"/>
    </xf>
    <xf numFmtId="0" fontId="46" fillId="25" borderId="0" xfId="81" applyFont="1" applyFill="1" applyBorder="1" applyAlignment="1" applyProtection="1">
      <alignment/>
      <protection hidden="1"/>
    </xf>
    <xf numFmtId="0" fontId="0" fillId="25" borderId="0" xfId="121" applyFont="1" applyFill="1" applyBorder="1" applyAlignment="1" applyProtection="1">
      <alignment/>
      <protection hidden="1"/>
    </xf>
    <xf numFmtId="0" fontId="0" fillId="0" borderId="0" xfId="0" applyFont="1" applyAlignment="1" applyProtection="1">
      <alignment/>
      <protection hidden="1"/>
    </xf>
    <xf numFmtId="0" fontId="0" fillId="25" borderId="0" xfId="0" applyFont="1" applyFill="1" applyBorder="1" applyAlignment="1" applyProtection="1">
      <alignment/>
      <protection hidden="1"/>
    </xf>
    <xf numFmtId="0" fontId="0" fillId="25" borderId="0" xfId="121" applyFont="1" applyFill="1" applyAlignment="1" applyProtection="1">
      <alignment vertical="center"/>
      <protection hidden="1"/>
    </xf>
    <xf numFmtId="0" fontId="46" fillId="25" borderId="0" xfId="81" applyFont="1" applyFill="1" applyAlignment="1" applyProtection="1">
      <alignment/>
      <protection hidden="1"/>
    </xf>
    <xf numFmtId="0" fontId="97" fillId="25" borderId="0" xfId="93" applyFont="1" applyFill="1" applyAlignment="1" applyProtection="1">
      <alignment horizontal="center"/>
      <protection hidden="1"/>
    </xf>
    <xf numFmtId="0" fontId="171" fillId="25" borderId="0" xfId="85" applyFont="1" applyFill="1" applyBorder="1" applyAlignment="1" applyProtection="1">
      <alignment horizontal="left"/>
      <protection hidden="1"/>
    </xf>
    <xf numFmtId="0" fontId="165" fillId="22" borderId="10" xfId="93" applyFont="1" applyFill="1" applyBorder="1" applyProtection="1">
      <alignment/>
      <protection hidden="1"/>
    </xf>
    <xf numFmtId="0" fontId="165" fillId="22" borderId="26" xfId="93" applyFont="1" applyFill="1" applyBorder="1" applyProtection="1">
      <alignment/>
      <protection hidden="1"/>
    </xf>
    <xf numFmtId="0" fontId="165" fillId="22" borderId="25" xfId="93" applyFont="1" applyFill="1" applyBorder="1" applyProtection="1">
      <alignment/>
      <protection hidden="1"/>
    </xf>
    <xf numFmtId="49" fontId="165" fillId="25" borderId="16" xfId="93" applyNumberFormat="1" applyFont="1" applyFill="1" applyBorder="1" applyAlignment="1" applyProtection="1">
      <alignment horizontal="center"/>
      <protection hidden="1"/>
    </xf>
    <xf numFmtId="49" fontId="165" fillId="25" borderId="0" xfId="93" applyNumberFormat="1" applyFont="1" applyFill="1" applyBorder="1" applyAlignment="1" applyProtection="1">
      <alignment horizontal="center"/>
      <protection hidden="1"/>
    </xf>
    <xf numFmtId="49" fontId="28" fillId="25" borderId="0" xfId="93" applyNumberFormat="1" applyFont="1" applyFill="1" applyAlignment="1" applyProtection="1">
      <alignment horizontal="center" wrapText="1"/>
      <protection hidden="1"/>
    </xf>
    <xf numFmtId="0" fontId="0" fillId="0" borderId="0" xfId="0" applyAlignment="1" applyProtection="1">
      <alignment wrapText="1"/>
      <protection hidden="1"/>
    </xf>
    <xf numFmtId="44" fontId="167" fillId="25" borderId="0" xfId="56" applyFont="1" applyFill="1" applyAlignment="1" applyProtection="1">
      <alignment/>
      <protection locked="0"/>
    </xf>
    <xf numFmtId="0" fontId="169" fillId="25" borderId="0" xfId="67" applyFont="1" applyFill="1" applyAlignment="1" applyProtection="1">
      <alignment/>
      <protection/>
    </xf>
    <xf numFmtId="0" fontId="9" fillId="25" borderId="0" xfId="102" applyFont="1" applyFill="1" applyBorder="1" applyAlignment="1" applyProtection="1">
      <alignment horizontal="left"/>
      <protection hidden="1"/>
    </xf>
    <xf numFmtId="0" fontId="4" fillId="25" borderId="0" xfId="0" applyFont="1" applyFill="1" applyAlignment="1">
      <alignment/>
    </xf>
    <xf numFmtId="0" fontId="18" fillId="25" borderId="0" xfId="68" applyFont="1" applyFill="1" applyBorder="1" applyAlignment="1" applyProtection="1">
      <alignment horizontal="left"/>
      <protection hidden="1"/>
    </xf>
    <xf numFmtId="0" fontId="18" fillId="0" borderId="0" xfId="65" applyFont="1" applyAlignment="1" applyProtection="1">
      <alignment/>
      <protection/>
    </xf>
    <xf numFmtId="0" fontId="18" fillId="25" borderId="0" xfId="68" applyFont="1" applyFill="1" applyAlignment="1" applyProtection="1">
      <alignment horizontal="left"/>
      <protection hidden="1"/>
    </xf>
    <xf numFmtId="0" fontId="4" fillId="25" borderId="0" xfId="93" applyFont="1" applyFill="1" applyBorder="1" applyAlignment="1" applyProtection="1">
      <alignment horizontal="right"/>
      <protection hidden="1"/>
    </xf>
    <xf numFmtId="0" fontId="4" fillId="25" borderId="0" xfId="103" applyFont="1" applyFill="1" applyBorder="1" applyAlignment="1" applyProtection="1">
      <alignment horizontal="right"/>
      <protection hidden="1"/>
    </xf>
    <xf numFmtId="1" fontId="6" fillId="7" borderId="0" xfId="96" applyNumberFormat="1" applyFont="1" applyFill="1" applyBorder="1" applyAlignment="1" applyProtection="1">
      <alignment/>
      <protection hidden="1"/>
    </xf>
    <xf numFmtId="0" fontId="43" fillId="31" borderId="26" xfId="87" applyFill="1" applyBorder="1" applyAlignment="1" applyProtection="1">
      <alignment vertical="top"/>
      <protection hidden="1"/>
    </xf>
    <xf numFmtId="0" fontId="148" fillId="25" borderId="0" xfId="113" applyFont="1" applyFill="1" applyBorder="1" applyAlignment="1" applyProtection="1">
      <alignment/>
      <protection hidden="1"/>
    </xf>
    <xf numFmtId="0" fontId="47" fillId="25" borderId="0" xfId="91" applyFont="1" applyFill="1" applyAlignment="1" applyProtection="1">
      <alignment horizontal="right"/>
      <protection hidden="1"/>
    </xf>
    <xf numFmtId="0" fontId="47" fillId="25" borderId="18" xfId="91" applyFont="1" applyFill="1" applyBorder="1" applyAlignment="1" applyProtection="1">
      <alignment horizontal="right"/>
      <protection hidden="1"/>
    </xf>
    <xf numFmtId="2" fontId="7" fillId="25" borderId="19" xfId="113" applyNumberFormat="1" applyFont="1" applyFill="1" applyBorder="1" applyAlignment="1" applyProtection="1">
      <alignment horizontal="left" wrapText="1"/>
      <protection hidden="1"/>
    </xf>
    <xf numFmtId="0" fontId="7" fillId="25" borderId="19" xfId="0" applyFont="1" applyFill="1" applyBorder="1" applyAlignment="1" applyProtection="1">
      <alignment/>
      <protection hidden="1"/>
    </xf>
    <xf numFmtId="0" fontId="6" fillId="25" borderId="10" xfId="0" applyFont="1" applyFill="1" applyBorder="1" applyAlignment="1" applyProtection="1">
      <alignment horizontal="center"/>
      <protection hidden="1"/>
    </xf>
    <xf numFmtId="0" fontId="6" fillId="25" borderId="26" xfId="0" applyFont="1" applyFill="1" applyBorder="1" applyAlignment="1" applyProtection="1">
      <alignment horizontal="center"/>
      <protection hidden="1"/>
    </xf>
    <xf numFmtId="0" fontId="6" fillId="25" borderId="25" xfId="0" applyFont="1" applyFill="1" applyBorder="1" applyAlignment="1" applyProtection="1">
      <alignment horizontal="center"/>
      <protection hidden="1"/>
    </xf>
    <xf numFmtId="0" fontId="6" fillId="25" borderId="0" xfId="113" applyFont="1" applyFill="1" applyBorder="1" applyAlignment="1" applyProtection="1">
      <alignment horizontal="left"/>
      <protection hidden="1"/>
    </xf>
    <xf numFmtId="0" fontId="6" fillId="25" borderId="18" xfId="113" applyFont="1" applyFill="1" applyBorder="1" applyAlignment="1" applyProtection="1">
      <alignment horizontal="left"/>
      <protection hidden="1"/>
    </xf>
    <xf numFmtId="172" fontId="6" fillId="25" borderId="0" xfId="99" applyNumberFormat="1" applyFont="1" applyFill="1" applyAlignment="1" applyProtection="1">
      <alignment/>
      <protection hidden="1"/>
    </xf>
    <xf numFmtId="0" fontId="6" fillId="25" borderId="0" xfId="99" applyFont="1" applyFill="1" applyProtection="1">
      <alignment/>
      <protection hidden="1"/>
    </xf>
    <xf numFmtId="0" fontId="148" fillId="25" borderId="0" xfId="91" applyFont="1" applyFill="1" applyBorder="1" applyAlignment="1" applyProtection="1">
      <alignment/>
      <protection hidden="1"/>
    </xf>
    <xf numFmtId="0" fontId="6" fillId="0" borderId="0" xfId="0" applyFont="1" applyAlignment="1" applyProtection="1">
      <alignment/>
      <protection hidden="1"/>
    </xf>
    <xf numFmtId="0" fontId="6" fillId="25" borderId="0" xfId="99" applyFont="1" applyFill="1" applyAlignment="1" applyProtection="1">
      <alignment/>
      <protection hidden="1"/>
    </xf>
    <xf numFmtId="0" fontId="6" fillId="25" borderId="0" xfId="99" applyFont="1" applyFill="1" applyBorder="1" applyAlignment="1" applyProtection="1">
      <alignment horizontal="right" vertical="center"/>
      <protection hidden="1"/>
    </xf>
    <xf numFmtId="0" fontId="15" fillId="0" borderId="0" xfId="0" applyFont="1" applyAlignment="1" applyProtection="1" quotePrefix="1">
      <alignment horizontal="left" vertical="top"/>
      <protection hidden="1"/>
    </xf>
    <xf numFmtId="0" fontId="15" fillId="0" borderId="0" xfId="0" applyFont="1" applyAlignment="1" applyProtection="1">
      <alignment horizontal="left" vertical="top"/>
      <protection hidden="1"/>
    </xf>
    <xf numFmtId="0" fontId="6" fillId="25" borderId="0" xfId="122" applyFont="1" applyFill="1" applyBorder="1" applyAlignment="1" applyProtection="1">
      <alignment horizontal="right"/>
      <protection hidden="1"/>
    </xf>
    <xf numFmtId="0" fontId="6" fillId="0" borderId="0" xfId="0" applyFont="1" applyBorder="1" applyAlignment="1" applyProtection="1">
      <alignment horizontal="right"/>
      <protection hidden="1"/>
    </xf>
    <xf numFmtId="0" fontId="6" fillId="7" borderId="0" xfId="96" applyFont="1" applyFill="1" applyBorder="1" applyAlignment="1" applyProtection="1">
      <alignment/>
      <protection hidden="1"/>
    </xf>
    <xf numFmtId="0" fontId="6" fillId="25" borderId="0" xfId="96" applyFont="1" applyFill="1" applyBorder="1" applyAlignment="1" applyProtection="1">
      <alignment horizontal="left" vertical="center" wrapText="1"/>
      <protection hidden="1"/>
    </xf>
    <xf numFmtId="0" fontId="6" fillId="0" borderId="0" xfId="0" applyFont="1" applyAlignment="1">
      <alignment horizontal="left" vertical="center" wrapText="1"/>
    </xf>
    <xf numFmtId="0" fontId="6" fillId="0" borderId="0" xfId="0" applyFont="1" applyAlignment="1">
      <alignment/>
    </xf>
    <xf numFmtId="0" fontId="6" fillId="0" borderId="0" xfId="0" applyFont="1" applyBorder="1" applyAlignment="1">
      <alignment/>
    </xf>
    <xf numFmtId="0" fontId="3" fillId="25" borderId="0" xfId="91" applyFont="1" applyFill="1" applyProtection="1">
      <alignment/>
      <protection hidden="1"/>
    </xf>
    <xf numFmtId="0" fontId="6" fillId="25" borderId="0" xfId="86" applyFont="1" applyFill="1" applyBorder="1" applyAlignment="1" applyProtection="1">
      <alignment/>
      <protection hidden="1"/>
    </xf>
    <xf numFmtId="0" fontId="148" fillId="25" borderId="0" xfId="77" applyFont="1" applyFill="1" applyAlignment="1" applyProtection="1">
      <alignment/>
      <protection hidden="1"/>
    </xf>
    <xf numFmtId="0" fontId="12" fillId="0" borderId="36" xfId="0" applyFont="1" applyBorder="1" applyAlignment="1">
      <alignment/>
    </xf>
    <xf numFmtId="0" fontId="6" fillId="25" borderId="0" xfId="113" applyFont="1" applyFill="1" applyAlignment="1" applyProtection="1">
      <alignment horizontal="right"/>
      <protection hidden="1"/>
    </xf>
    <xf numFmtId="0" fontId="6" fillId="25" borderId="0" xfId="99" applyFont="1" applyFill="1" applyBorder="1" applyAlignment="1" applyProtection="1">
      <alignment/>
      <protection hidden="1"/>
    </xf>
    <xf numFmtId="2" fontId="3" fillId="0" borderId="20" xfId="91" applyNumberFormat="1" applyFont="1" applyFill="1" applyBorder="1" applyAlignment="1" applyProtection="1">
      <alignment horizontal="center"/>
      <protection hidden="1"/>
    </xf>
    <xf numFmtId="2" fontId="3" fillId="0" borderId="27" xfId="91" applyNumberFormat="1" applyFont="1" applyFill="1" applyBorder="1" applyAlignment="1" applyProtection="1">
      <alignment horizontal="center"/>
      <protection hidden="1"/>
    </xf>
    <xf numFmtId="2" fontId="3" fillId="0" borderId="21" xfId="91" applyNumberFormat="1" applyFont="1" applyFill="1" applyBorder="1" applyAlignment="1" applyProtection="1">
      <alignment horizontal="center"/>
      <protection hidden="1"/>
    </xf>
    <xf numFmtId="0" fontId="179" fillId="25" borderId="0" xfId="65" applyFont="1" applyFill="1" applyAlignment="1" applyProtection="1">
      <alignment horizontal="center"/>
      <protection hidden="1"/>
    </xf>
    <xf numFmtId="1" fontId="6" fillId="25" borderId="0" xfId="99" applyNumberFormat="1" applyFont="1" applyFill="1" applyAlignment="1" applyProtection="1">
      <alignment/>
      <protection hidden="1"/>
    </xf>
    <xf numFmtId="172" fontId="15" fillId="25" borderId="0" xfId="99" applyNumberFormat="1" applyFont="1" applyFill="1" applyBorder="1" applyAlignment="1" applyProtection="1">
      <alignment horizontal="center" vertical="top"/>
      <protection hidden="1"/>
    </xf>
    <xf numFmtId="0" fontId="6" fillId="25" borderId="0" xfId="99" applyFont="1" applyFill="1" applyBorder="1" applyAlignment="1" applyProtection="1">
      <alignment vertical="center"/>
      <protection hidden="1"/>
    </xf>
    <xf numFmtId="2" fontId="6" fillId="25" borderId="0" xfId="99" applyNumberFormat="1" applyFont="1" applyFill="1" applyAlignment="1" applyProtection="1">
      <alignment/>
      <protection hidden="1"/>
    </xf>
    <xf numFmtId="0" fontId="6" fillId="25" borderId="0" xfId="0" applyFont="1" applyFill="1" applyAlignment="1">
      <alignment/>
    </xf>
    <xf numFmtId="0" fontId="133" fillId="25" borderId="0" xfId="91" applyFont="1" applyFill="1" applyBorder="1" applyAlignment="1" applyProtection="1">
      <alignment/>
      <protection hidden="1"/>
    </xf>
    <xf numFmtId="0" fontId="179" fillId="0" borderId="0" xfId="65" applyFont="1" applyAlignment="1" applyProtection="1">
      <alignment/>
      <protection/>
    </xf>
    <xf numFmtId="0" fontId="3" fillId="25" borderId="0" xfId="91" applyFont="1" applyFill="1" applyBorder="1" applyAlignment="1" applyProtection="1">
      <alignment/>
      <protection hidden="1"/>
    </xf>
    <xf numFmtId="0" fontId="6" fillId="25" borderId="0" xfId="0" applyFont="1" applyFill="1" applyAlignment="1" applyProtection="1">
      <alignment/>
      <protection hidden="1"/>
    </xf>
    <xf numFmtId="0" fontId="6" fillId="25" borderId="0" xfId="91" applyFont="1" applyFill="1" applyBorder="1" applyAlignment="1" applyProtection="1">
      <alignment horizontal="right"/>
      <protection hidden="1"/>
    </xf>
    <xf numFmtId="0" fontId="0" fillId="0" borderId="0" xfId="0" applyAlignment="1" applyProtection="1">
      <alignment horizontal="right"/>
      <protection hidden="1"/>
    </xf>
    <xf numFmtId="0" fontId="9" fillId="0" borderId="0" xfId="0" applyFont="1" applyAlignment="1">
      <alignment/>
    </xf>
    <xf numFmtId="0" fontId="47" fillId="25" borderId="0" xfId="0" applyFont="1" applyFill="1" applyBorder="1" applyAlignment="1" applyProtection="1">
      <alignment horizontal="right"/>
      <protection hidden="1"/>
    </xf>
    <xf numFmtId="0" fontId="47" fillId="25" borderId="18" xfId="0" applyFont="1" applyFill="1" applyBorder="1" applyAlignment="1" applyProtection="1">
      <alignment horizontal="right"/>
      <protection hidden="1"/>
    </xf>
    <xf numFmtId="0" fontId="137" fillId="25" borderId="0" xfId="93" applyFont="1" applyFill="1" applyBorder="1" applyAlignment="1" applyProtection="1">
      <alignment wrapText="1"/>
      <protection hidden="1"/>
    </xf>
    <xf numFmtId="0" fontId="6" fillId="25" borderId="0" xfId="77" applyFont="1" applyFill="1" applyBorder="1" applyAlignment="1" applyProtection="1">
      <alignment/>
      <protection hidden="1"/>
    </xf>
    <xf numFmtId="2" fontId="6" fillId="25" borderId="0" xfId="113" applyNumberFormat="1" applyFont="1" applyFill="1" applyAlignment="1" applyProtection="1">
      <alignment readingOrder="1"/>
      <protection hidden="1"/>
    </xf>
    <xf numFmtId="0" fontId="6" fillId="25" borderId="0" xfId="99" applyFont="1" applyFill="1" applyAlignment="1" applyProtection="1">
      <alignment horizontal="left"/>
      <protection hidden="1"/>
    </xf>
    <xf numFmtId="0" fontId="8" fillId="25" borderId="0" xfId="91" applyFont="1" applyFill="1" applyAlignment="1" applyProtection="1">
      <alignment/>
      <protection hidden="1"/>
    </xf>
    <xf numFmtId="0" fontId="103" fillId="0" borderId="0" xfId="0" applyFont="1" applyBorder="1" applyAlignment="1">
      <alignment vertical="top" wrapText="1"/>
    </xf>
    <xf numFmtId="1" fontId="6" fillId="0" borderId="0" xfId="113" applyNumberFormat="1" applyFont="1" applyAlignment="1" applyProtection="1">
      <alignment/>
      <protection hidden="1"/>
    </xf>
    <xf numFmtId="0" fontId="6" fillId="25" borderId="0" xfId="99" applyFont="1" applyFill="1" applyAlignment="1" applyProtection="1">
      <alignment horizontal="right"/>
      <protection hidden="1"/>
    </xf>
    <xf numFmtId="2" fontId="3" fillId="0" borderId="19" xfId="91" applyNumberFormat="1" applyFont="1" applyFill="1" applyBorder="1" applyAlignment="1" applyProtection="1">
      <alignment horizontal="center"/>
      <protection hidden="1"/>
    </xf>
    <xf numFmtId="0" fontId="0" fillId="0" borderId="19" xfId="0" applyFont="1" applyBorder="1" applyAlignment="1">
      <alignment horizontal="center"/>
    </xf>
    <xf numFmtId="0" fontId="3" fillId="25" borderId="13" xfId="91" applyFont="1" applyFill="1" applyBorder="1" applyAlignment="1" applyProtection="1">
      <alignment horizontal="right"/>
      <protection hidden="1"/>
    </xf>
    <xf numFmtId="1" fontId="6" fillId="0" borderId="16" xfId="99" applyNumberFormat="1" applyFont="1" applyFill="1" applyBorder="1" applyAlignment="1" applyProtection="1">
      <alignment/>
      <protection hidden="1"/>
    </xf>
    <xf numFmtId="1" fontId="6" fillId="0" borderId="0" xfId="99" applyNumberFormat="1" applyFont="1" applyFill="1" applyBorder="1" applyAlignment="1" applyProtection="1">
      <alignment/>
      <protection hidden="1"/>
    </xf>
    <xf numFmtId="1" fontId="6" fillId="0" borderId="18" xfId="99" applyNumberFormat="1" applyFont="1" applyFill="1" applyBorder="1" applyAlignment="1" applyProtection="1">
      <alignment/>
      <protection hidden="1"/>
    </xf>
    <xf numFmtId="0" fontId="6" fillId="0" borderId="0" xfId="113" applyFont="1" applyAlignment="1" applyProtection="1">
      <alignment/>
      <protection hidden="1"/>
    </xf>
    <xf numFmtId="0" fontId="6" fillId="0" borderId="0" xfId="99" applyFont="1" applyFill="1" applyBorder="1" applyAlignment="1" applyProtection="1">
      <alignment horizontal="center"/>
      <protection hidden="1"/>
    </xf>
    <xf numFmtId="14" fontId="3" fillId="25" borderId="13" xfId="93" applyNumberFormat="1" applyFont="1" applyFill="1" applyBorder="1" applyAlignment="1" applyProtection="1">
      <alignment/>
      <protection hidden="1"/>
    </xf>
    <xf numFmtId="0" fontId="0" fillId="0" borderId="0" xfId="113" applyFont="1" applyAlignment="1" applyProtection="1">
      <alignment/>
      <protection hidden="1"/>
    </xf>
    <xf numFmtId="0" fontId="141" fillId="0" borderId="33" xfId="113" applyFont="1" applyBorder="1" applyAlignment="1" applyProtection="1">
      <alignment horizontal="center" vertical="center" wrapText="1"/>
      <protection hidden="1"/>
    </xf>
    <xf numFmtId="0" fontId="6" fillId="0" borderId="34" xfId="0" applyFont="1" applyBorder="1" applyAlignment="1" applyProtection="1">
      <alignment horizontal="center" vertical="center" wrapText="1"/>
      <protection hidden="1"/>
    </xf>
    <xf numFmtId="0" fontId="6" fillId="0" borderId="35" xfId="0" applyFont="1" applyBorder="1" applyAlignment="1" applyProtection="1">
      <alignment horizontal="center" vertical="center" wrapText="1"/>
      <protection hidden="1"/>
    </xf>
    <xf numFmtId="0" fontId="16" fillId="25" borderId="31" xfId="0" applyFont="1" applyFill="1" applyBorder="1" applyAlignment="1" applyProtection="1">
      <alignment horizontal="center"/>
      <protection hidden="1"/>
    </xf>
    <xf numFmtId="0" fontId="16" fillId="25" borderId="32" xfId="0" applyFont="1" applyFill="1" applyBorder="1" applyAlignment="1" applyProtection="1">
      <alignment horizontal="center"/>
      <protection hidden="1"/>
    </xf>
    <xf numFmtId="14" fontId="133" fillId="0" borderId="16" xfId="93" applyNumberFormat="1" applyFont="1" applyFill="1" applyBorder="1" applyAlignment="1" applyProtection="1">
      <alignment/>
      <protection hidden="1"/>
    </xf>
    <xf numFmtId="14" fontId="133" fillId="0" borderId="0" xfId="93" applyNumberFormat="1" applyFont="1" applyFill="1" applyBorder="1" applyAlignment="1" applyProtection="1">
      <alignment/>
      <protection hidden="1"/>
    </xf>
    <xf numFmtId="14" fontId="133" fillId="0" borderId="32" xfId="93" applyNumberFormat="1" applyFont="1" applyFill="1" applyBorder="1" applyAlignment="1" applyProtection="1">
      <alignment/>
      <protection hidden="1"/>
    </xf>
    <xf numFmtId="0" fontId="130" fillId="0" borderId="0" xfId="113" applyFont="1" applyFill="1" applyBorder="1" applyAlignment="1" applyProtection="1">
      <alignment horizontal="center"/>
      <protection hidden="1"/>
    </xf>
    <xf numFmtId="0" fontId="74" fillId="0" borderId="0" xfId="0" applyFont="1" applyFill="1" applyBorder="1" applyAlignment="1" applyProtection="1">
      <alignment horizontal="center"/>
      <protection hidden="1"/>
    </xf>
    <xf numFmtId="0" fontId="74" fillId="0" borderId="32" xfId="0" applyFont="1" applyFill="1" applyBorder="1" applyAlignment="1" applyProtection="1">
      <alignment horizontal="center"/>
      <protection hidden="1"/>
    </xf>
    <xf numFmtId="0" fontId="103" fillId="0" borderId="31" xfId="97" applyFont="1" applyFill="1" applyBorder="1" applyAlignment="1" applyProtection="1">
      <alignment horizontal="left"/>
      <protection hidden="1"/>
    </xf>
    <xf numFmtId="0" fontId="103" fillId="0" borderId="0" xfId="97" applyFont="1" applyFill="1" applyBorder="1" applyAlignment="1" applyProtection="1">
      <alignment horizontal="left"/>
      <protection hidden="1"/>
    </xf>
    <xf numFmtId="172" fontId="100" fillId="0" borderId="0" xfId="99" applyNumberFormat="1" applyFont="1" applyFill="1" applyAlignment="1" applyProtection="1">
      <alignment horizontal="left" vertical="center" wrapText="1"/>
      <protection locked="0"/>
    </xf>
    <xf numFmtId="0" fontId="16" fillId="25" borderId="33" xfId="0" applyFont="1" applyFill="1" applyBorder="1" applyAlignment="1" applyProtection="1">
      <alignment horizontal="center"/>
      <protection hidden="1"/>
    </xf>
    <xf numFmtId="0" fontId="16" fillId="25" borderId="35" xfId="0" applyFont="1" applyFill="1" applyBorder="1" applyAlignment="1" applyProtection="1">
      <alignment horizontal="center"/>
      <protection hidden="1"/>
    </xf>
    <xf numFmtId="0" fontId="16" fillId="25" borderId="30" xfId="0" applyFont="1" applyFill="1" applyBorder="1" applyAlignment="1">
      <alignment horizontal="center" wrapText="1"/>
    </xf>
    <xf numFmtId="0" fontId="16" fillId="25" borderId="29" xfId="0" applyFont="1" applyFill="1" applyBorder="1" applyAlignment="1">
      <alignment horizontal="center" wrapText="1"/>
    </xf>
    <xf numFmtId="0" fontId="16" fillId="25" borderId="33" xfId="0" applyFont="1" applyFill="1" applyBorder="1" applyAlignment="1">
      <alignment horizontal="center" wrapText="1"/>
    </xf>
    <xf numFmtId="0" fontId="16" fillId="25" borderId="35" xfId="0" applyFont="1" applyFill="1" applyBorder="1" applyAlignment="1">
      <alignment horizontal="center" wrapText="1"/>
    </xf>
    <xf numFmtId="0" fontId="9" fillId="0" borderId="16" xfId="97" applyFont="1" applyFill="1" applyBorder="1" applyAlignment="1" applyProtection="1">
      <alignment horizontal="left"/>
      <protection hidden="1"/>
    </xf>
    <xf numFmtId="0" fontId="9" fillId="0" borderId="0" xfId="97" applyFont="1" applyFill="1" applyBorder="1" applyAlignment="1" applyProtection="1">
      <alignment horizontal="left"/>
      <protection hidden="1"/>
    </xf>
    <xf numFmtId="0" fontId="9" fillId="0" borderId="32" xfId="97" applyFont="1" applyFill="1" applyBorder="1" applyAlignment="1" applyProtection="1">
      <alignment horizontal="left"/>
      <protection hidden="1"/>
    </xf>
    <xf numFmtId="0" fontId="6" fillId="0" borderId="20" xfId="0" applyFont="1" applyBorder="1" applyAlignment="1" applyProtection="1">
      <alignment horizontal="center" wrapText="1"/>
      <protection hidden="1"/>
    </xf>
    <xf numFmtId="0" fontId="6" fillId="0" borderId="21" xfId="0" applyFont="1" applyBorder="1" applyAlignment="1" applyProtection="1">
      <alignment horizontal="center" wrapText="1"/>
      <protection hidden="1"/>
    </xf>
    <xf numFmtId="0" fontId="6" fillId="25" borderId="19" xfId="0" applyFont="1" applyFill="1" applyBorder="1" applyAlignment="1" applyProtection="1">
      <alignment horizontal="center" wrapText="1"/>
      <protection hidden="1"/>
    </xf>
    <xf numFmtId="2" fontId="130" fillId="25" borderId="0" xfId="99" applyNumberFormat="1" applyFont="1" applyFill="1" applyBorder="1" applyAlignment="1" applyProtection="1">
      <alignment horizontal="left" vertical="center"/>
      <protection hidden="1"/>
    </xf>
    <xf numFmtId="2" fontId="130" fillId="25" borderId="32" xfId="99" applyNumberFormat="1" applyFont="1" applyFill="1" applyBorder="1" applyAlignment="1" applyProtection="1">
      <alignment horizontal="left" vertical="center"/>
      <protection hidden="1"/>
    </xf>
    <xf numFmtId="0" fontId="16" fillId="25" borderId="28" xfId="0" applyFont="1" applyFill="1" applyBorder="1" applyAlignment="1">
      <alignment horizontal="center" wrapText="1"/>
    </xf>
    <xf numFmtId="0" fontId="16" fillId="25" borderId="34" xfId="0" applyFont="1" applyFill="1" applyBorder="1" applyAlignment="1">
      <alignment horizontal="center" wrapText="1"/>
    </xf>
    <xf numFmtId="0" fontId="6" fillId="0" borderId="0" xfId="113" applyFont="1" applyFill="1" applyBorder="1" applyAlignment="1" applyProtection="1">
      <alignment horizontal="right"/>
      <protection hidden="1"/>
    </xf>
    <xf numFmtId="0" fontId="18" fillId="25" borderId="0" xfId="68" applyFont="1" applyFill="1" applyAlignment="1" applyProtection="1">
      <alignment horizontal="right"/>
      <protection hidden="1"/>
    </xf>
    <xf numFmtId="0" fontId="7" fillId="25" borderId="0" xfId="102" applyFont="1" applyFill="1" applyBorder="1" applyAlignment="1" applyProtection="1">
      <alignment horizontal="left"/>
      <protection/>
    </xf>
    <xf numFmtId="0" fontId="7" fillId="25" borderId="0" xfId="102" applyFont="1" applyFill="1" applyAlignment="1" applyProtection="1">
      <alignment horizontal="left"/>
      <protection/>
    </xf>
    <xf numFmtId="49" fontId="16" fillId="25" borderId="31" xfId="99" applyNumberFormat="1" applyFont="1" applyFill="1" applyBorder="1" applyAlignment="1" applyProtection="1">
      <alignment horizontal="center"/>
      <protection hidden="1"/>
    </xf>
    <xf numFmtId="49" fontId="16" fillId="25" borderId="32" xfId="99" applyNumberFormat="1" applyFont="1" applyFill="1" applyBorder="1" applyAlignment="1" applyProtection="1">
      <alignment horizontal="center"/>
      <protection hidden="1"/>
    </xf>
    <xf numFmtId="172" fontId="6" fillId="25" borderId="0" xfId="113" applyNumberFormat="1" applyFont="1" applyFill="1" applyAlignment="1" applyProtection="1">
      <alignment/>
      <protection hidden="1"/>
    </xf>
    <xf numFmtId="2" fontId="6" fillId="25" borderId="0" xfId="113" applyNumberFormat="1" applyFont="1" applyFill="1" applyAlignment="1" applyProtection="1">
      <alignment/>
      <protection hidden="1"/>
    </xf>
    <xf numFmtId="0" fontId="6" fillId="0" borderId="20" xfId="0" applyFont="1" applyBorder="1" applyAlignment="1">
      <alignment horizontal="center"/>
    </xf>
    <xf numFmtId="0" fontId="6" fillId="0" borderId="27" xfId="0" applyFont="1" applyBorder="1" applyAlignment="1">
      <alignment horizontal="center"/>
    </xf>
    <xf numFmtId="0" fontId="6" fillId="0" borderId="27" xfId="0" applyFont="1" applyBorder="1" applyAlignment="1" applyProtection="1">
      <alignment horizontal="center" wrapText="1"/>
      <protection hidden="1"/>
    </xf>
    <xf numFmtId="0" fontId="141" fillId="25" borderId="0" xfId="99" applyFont="1" applyFill="1" applyAlignment="1" applyProtection="1">
      <alignment/>
      <protection hidden="1"/>
    </xf>
    <xf numFmtId="0" fontId="148" fillId="25" borderId="0" xfId="113" applyFont="1" applyFill="1" applyAlignment="1" applyProtection="1">
      <alignment/>
      <protection hidden="1"/>
    </xf>
    <xf numFmtId="0" fontId="133" fillId="25" borderId="0" xfId="113" applyFont="1" applyFill="1" applyAlignment="1" applyProtection="1">
      <alignment horizontal="right"/>
      <protection hidden="1"/>
    </xf>
    <xf numFmtId="0" fontId="6" fillId="25" borderId="0" xfId="113" applyFont="1" applyFill="1" applyAlignment="1" applyProtection="1">
      <alignment horizontal="left"/>
      <protection hidden="1"/>
    </xf>
    <xf numFmtId="172" fontId="190" fillId="25" borderId="0" xfId="99" applyNumberFormat="1" applyFont="1" applyFill="1" applyAlignment="1" applyProtection="1">
      <alignment/>
      <protection hidden="1"/>
    </xf>
    <xf numFmtId="172" fontId="10" fillId="25" borderId="0" xfId="99" applyNumberFormat="1" applyFont="1" applyFill="1" applyBorder="1" applyAlignment="1" applyProtection="1">
      <alignment/>
      <protection hidden="1"/>
    </xf>
    <xf numFmtId="0" fontId="143" fillId="25" borderId="0" xfId="99" applyFont="1" applyFill="1" applyBorder="1" applyAlignment="1" applyProtection="1">
      <alignment/>
      <protection hidden="1"/>
    </xf>
    <xf numFmtId="0" fontId="0" fillId="0" borderId="0" xfId="0" applyAlignment="1">
      <alignment/>
    </xf>
    <xf numFmtId="0" fontId="2" fillId="0" borderId="0" xfId="65" applyAlignment="1" applyProtection="1">
      <alignment/>
      <protection/>
    </xf>
    <xf numFmtId="0" fontId="3" fillId="0" borderId="0" xfId="0" applyFont="1" applyAlignment="1">
      <alignment horizontal="right"/>
    </xf>
    <xf numFmtId="0" fontId="143" fillId="25" borderId="0" xfId="99" applyFont="1" applyFill="1" applyBorder="1" applyAlignment="1" applyProtection="1">
      <alignment horizontal="right"/>
      <protection hidden="1"/>
    </xf>
    <xf numFmtId="0" fontId="0" fillId="25" borderId="0" xfId="0" applyFill="1" applyAlignment="1" applyProtection="1">
      <alignment horizontal="right"/>
      <protection hidden="1"/>
    </xf>
    <xf numFmtId="0" fontId="6" fillId="0" borderId="19" xfId="0" applyFont="1" applyBorder="1" applyAlignment="1" applyProtection="1">
      <alignment wrapText="1"/>
      <protection hidden="1"/>
    </xf>
    <xf numFmtId="0" fontId="6" fillId="25" borderId="0" xfId="99" applyFont="1" applyFill="1" applyBorder="1" applyAlignment="1">
      <alignment horizontal="right"/>
      <protection/>
    </xf>
    <xf numFmtId="0" fontId="6" fillId="25" borderId="0" xfId="0" applyFont="1" applyFill="1" applyAlignment="1">
      <alignment/>
    </xf>
    <xf numFmtId="0" fontId="148" fillId="25" borderId="0" xfId="96" applyFont="1" applyFill="1" applyBorder="1" applyAlignment="1" applyProtection="1">
      <alignment horizontal="left"/>
      <protection hidden="1"/>
    </xf>
    <xf numFmtId="0" fontId="6" fillId="0" borderId="0" xfId="0" applyFont="1" applyAlignment="1">
      <alignment horizontal="left"/>
    </xf>
    <xf numFmtId="0" fontId="6" fillId="0" borderId="0" xfId="113" applyFont="1" applyBorder="1" applyAlignment="1" applyProtection="1">
      <alignment horizontal="right"/>
      <protection hidden="1"/>
    </xf>
    <xf numFmtId="0" fontId="6" fillId="25" borderId="0" xfId="91" applyFont="1" applyFill="1" applyBorder="1" applyAlignment="1" applyProtection="1">
      <alignment/>
      <protection hidden="1"/>
    </xf>
    <xf numFmtId="172" fontId="10" fillId="25" borderId="0" xfId="99" applyNumberFormat="1" applyFont="1" applyFill="1" applyAlignment="1" applyProtection="1">
      <alignment/>
      <protection hidden="1"/>
    </xf>
    <xf numFmtId="0" fontId="6" fillId="0" borderId="10" xfId="0" applyFont="1" applyBorder="1" applyAlignment="1">
      <alignment/>
    </xf>
    <xf numFmtId="0" fontId="6" fillId="0" borderId="25" xfId="0" applyFont="1" applyBorder="1" applyAlignment="1">
      <alignment/>
    </xf>
    <xf numFmtId="0" fontId="6" fillId="0" borderId="16" xfId="0" applyFont="1" applyBorder="1" applyAlignment="1">
      <alignment/>
    </xf>
    <xf numFmtId="0" fontId="6" fillId="0" borderId="18" xfId="0" applyFont="1" applyBorder="1" applyAlignment="1">
      <alignment/>
    </xf>
    <xf numFmtId="0" fontId="6" fillId="0" borderId="19" xfId="0" applyFont="1" applyBorder="1" applyAlignment="1" applyProtection="1">
      <alignment wrapText="1"/>
      <protection hidden="1"/>
    </xf>
    <xf numFmtId="0" fontId="6" fillId="25" borderId="15" xfId="99" applyFont="1" applyFill="1" applyBorder="1" applyAlignment="1" applyProtection="1">
      <alignment horizontal="right"/>
      <protection hidden="1"/>
    </xf>
    <xf numFmtId="0" fontId="0" fillId="25" borderId="13" xfId="0" applyFill="1" applyBorder="1" applyAlignment="1" applyProtection="1">
      <alignment horizontal="right"/>
      <protection hidden="1"/>
    </xf>
    <xf numFmtId="0" fontId="6" fillId="25" borderId="13" xfId="99" applyFont="1" applyFill="1" applyBorder="1" applyAlignment="1" applyProtection="1">
      <alignment/>
      <protection hidden="1"/>
    </xf>
    <xf numFmtId="0" fontId="6" fillId="25" borderId="0" xfId="93" applyFont="1" applyFill="1" applyAlignment="1" applyProtection="1">
      <alignment/>
      <protection hidden="1"/>
    </xf>
    <xf numFmtId="0" fontId="0" fillId="0" borderId="0" xfId="0" applyFont="1" applyAlignment="1">
      <alignment/>
    </xf>
    <xf numFmtId="1" fontId="130" fillId="25" borderId="30" xfId="99" applyNumberFormat="1" applyFont="1" applyFill="1" applyBorder="1" applyAlignment="1" applyProtection="1">
      <alignment/>
      <protection hidden="1"/>
    </xf>
    <xf numFmtId="0" fontId="0" fillId="0" borderId="28" xfId="0" applyBorder="1" applyAlignment="1" applyProtection="1">
      <alignment/>
      <protection hidden="1"/>
    </xf>
    <xf numFmtId="0" fontId="0" fillId="0" borderId="29" xfId="0" applyBorder="1" applyAlignment="1" applyProtection="1">
      <alignment/>
      <protection hidden="1"/>
    </xf>
    <xf numFmtId="0" fontId="133" fillId="25" borderId="0" xfId="113" applyFont="1" applyFill="1" applyAlignment="1" applyProtection="1">
      <alignment/>
      <protection hidden="1"/>
    </xf>
    <xf numFmtId="0" fontId="3" fillId="0" borderId="0" xfId="93" applyFont="1" applyAlignment="1">
      <alignment/>
      <protection/>
    </xf>
    <xf numFmtId="0" fontId="130" fillId="25" borderId="0" xfId="113" applyFont="1" applyFill="1" applyAlignment="1" applyProtection="1">
      <alignment horizontal="right"/>
      <protection hidden="1"/>
    </xf>
    <xf numFmtId="0" fontId="130" fillId="25" borderId="32" xfId="113" applyFont="1" applyFill="1" applyBorder="1" applyAlignment="1" applyProtection="1">
      <alignment horizontal="right"/>
      <protection hidden="1"/>
    </xf>
    <xf numFmtId="0" fontId="0" fillId="0" borderId="10" xfId="0" applyFill="1" applyBorder="1" applyAlignment="1">
      <alignment/>
    </xf>
    <xf numFmtId="0" fontId="0" fillId="0" borderId="26" xfId="0" applyFill="1" applyBorder="1" applyAlignment="1">
      <alignment/>
    </xf>
    <xf numFmtId="0" fontId="7" fillId="25" borderId="0" xfId="99" applyFont="1" applyFill="1" applyBorder="1" applyAlignment="1" applyProtection="1">
      <alignment vertical="center"/>
      <protection hidden="1"/>
    </xf>
    <xf numFmtId="172" fontId="6" fillId="25" borderId="0" xfId="99" applyNumberFormat="1" applyFont="1" applyFill="1" applyProtection="1">
      <alignment/>
      <protection hidden="1"/>
    </xf>
    <xf numFmtId="0" fontId="26" fillId="4" borderId="0" xfId="0" applyFont="1" applyFill="1" applyAlignment="1" applyProtection="1">
      <alignment/>
      <protection locked="0"/>
    </xf>
    <xf numFmtId="0" fontId="97" fillId="25" borderId="0" xfId="99" applyFont="1" applyFill="1" applyAlignment="1" applyProtection="1">
      <alignment horizontal="center"/>
      <protection hidden="1"/>
    </xf>
    <xf numFmtId="0" fontId="9" fillId="25" borderId="0" xfId="93" applyFont="1" applyFill="1" applyAlignment="1" applyProtection="1">
      <alignment/>
      <protection hidden="1"/>
    </xf>
    <xf numFmtId="172" fontId="6" fillId="7" borderId="0" xfId="93" applyNumberFormat="1" applyFont="1" applyFill="1" applyAlignment="1" applyProtection="1">
      <alignment/>
      <protection hidden="1"/>
    </xf>
    <xf numFmtId="49" fontId="147" fillId="0" borderId="34" xfId="113" applyNumberFormat="1" applyFont="1" applyFill="1" applyBorder="1" applyAlignment="1" applyProtection="1">
      <alignment/>
      <protection hidden="1"/>
    </xf>
    <xf numFmtId="172" fontId="15" fillId="0" borderId="0" xfId="99" applyNumberFormat="1" applyFont="1" applyFill="1" applyAlignment="1" applyProtection="1">
      <alignment horizontal="center"/>
      <protection hidden="1"/>
    </xf>
    <xf numFmtId="0" fontId="0" fillId="0" borderId="0" xfId="0" applyFill="1" applyAlignment="1" applyProtection="1">
      <alignment/>
      <protection hidden="1"/>
    </xf>
    <xf numFmtId="0" fontId="16" fillId="25" borderId="30" xfId="0" applyFont="1" applyFill="1" applyBorder="1" applyAlignment="1">
      <alignment wrapText="1"/>
    </xf>
    <xf numFmtId="0" fontId="16" fillId="25" borderId="29" xfId="0" applyFont="1" applyFill="1" applyBorder="1" applyAlignment="1">
      <alignment wrapText="1"/>
    </xf>
    <xf numFmtId="0" fontId="16" fillId="25" borderId="33" xfId="0" applyFont="1" applyFill="1" applyBorder="1" applyAlignment="1">
      <alignment wrapText="1"/>
    </xf>
    <xf numFmtId="0" fontId="16" fillId="25" borderId="35" xfId="0" applyFont="1" applyFill="1" applyBorder="1" applyAlignment="1">
      <alignment wrapText="1"/>
    </xf>
    <xf numFmtId="0" fontId="16" fillId="25" borderId="30" xfId="0" applyFont="1" applyFill="1" applyBorder="1" applyAlignment="1">
      <alignment/>
    </xf>
    <xf numFmtId="0" fontId="16" fillId="25" borderId="29" xfId="0" applyFont="1" applyFill="1" applyBorder="1" applyAlignment="1">
      <alignment/>
    </xf>
    <xf numFmtId="0" fontId="16" fillId="25" borderId="0" xfId="0" applyFont="1" applyFill="1" applyBorder="1" applyAlignment="1" applyProtection="1">
      <alignment horizontal="center"/>
      <protection hidden="1"/>
    </xf>
    <xf numFmtId="0" fontId="11" fillId="4" borderId="26" xfId="0" applyFont="1" applyFill="1" applyBorder="1" applyAlignment="1" applyProtection="1">
      <alignment/>
      <protection locked="0"/>
    </xf>
    <xf numFmtId="1" fontId="0" fillId="25" borderId="13" xfId="0" applyNumberFormat="1" applyFill="1" applyBorder="1" applyAlignment="1">
      <alignment/>
    </xf>
    <xf numFmtId="0" fontId="16" fillId="25" borderId="34" xfId="0" applyFont="1" applyFill="1" applyBorder="1" applyAlignment="1" applyProtection="1">
      <alignment horizontal="center"/>
      <protection hidden="1"/>
    </xf>
    <xf numFmtId="0" fontId="6" fillId="25" borderId="0" xfId="113" applyFont="1" applyFill="1" applyAlignment="1" applyProtection="1">
      <alignment/>
      <protection hidden="1"/>
    </xf>
    <xf numFmtId="0" fontId="6" fillId="25" borderId="32" xfId="113" applyFont="1" applyFill="1" applyBorder="1" applyAlignment="1" applyProtection="1">
      <alignment/>
      <protection hidden="1"/>
    </xf>
    <xf numFmtId="172" fontId="6" fillId="7" borderId="0" xfId="93" applyNumberFormat="1" applyFont="1" applyFill="1" applyBorder="1" applyAlignment="1" applyProtection="1">
      <alignment/>
      <protection hidden="1"/>
    </xf>
    <xf numFmtId="0" fontId="0" fillId="0" borderId="0" xfId="0" applyBorder="1" applyAlignment="1" applyProtection="1">
      <alignment/>
      <protection hidden="1"/>
    </xf>
    <xf numFmtId="0" fontId="6" fillId="25" borderId="26" xfId="99" applyFont="1" applyFill="1" applyBorder="1" applyAlignment="1" applyProtection="1">
      <alignment/>
      <protection hidden="1"/>
    </xf>
    <xf numFmtId="0" fontId="6" fillId="25" borderId="25" xfId="99" applyFont="1" applyFill="1" applyBorder="1" applyAlignment="1" applyProtection="1">
      <alignment/>
      <protection hidden="1"/>
    </xf>
    <xf numFmtId="0" fontId="0" fillId="25" borderId="13" xfId="0" applyFill="1" applyBorder="1" applyAlignment="1">
      <alignment/>
    </xf>
    <xf numFmtId="0" fontId="0" fillId="25" borderId="14" xfId="0" applyFill="1" applyBorder="1" applyAlignment="1">
      <alignment/>
    </xf>
    <xf numFmtId="0" fontId="3" fillId="25" borderId="0" xfId="0" applyFont="1" applyFill="1" applyAlignment="1" applyProtection="1">
      <alignment horizontal="right"/>
      <protection hidden="1"/>
    </xf>
    <xf numFmtId="0" fontId="3" fillId="25" borderId="32" xfId="0" applyFont="1" applyFill="1" applyBorder="1" applyAlignment="1" applyProtection="1">
      <alignment horizontal="right"/>
      <protection hidden="1"/>
    </xf>
    <xf numFmtId="172" fontId="0" fillId="7" borderId="0" xfId="93" applyNumberFormat="1" applyFill="1" applyAlignment="1" applyProtection="1">
      <alignment/>
      <protection hidden="1"/>
    </xf>
    <xf numFmtId="0" fontId="180" fillId="25" borderId="0" xfId="114" applyFont="1" applyFill="1" applyBorder="1" applyAlignment="1" applyProtection="1">
      <alignment horizontal="left" vertical="top" wrapText="1"/>
      <protection hidden="1"/>
    </xf>
    <xf numFmtId="0" fontId="6" fillId="25" borderId="0" xfId="113" applyFont="1" applyFill="1" applyAlignment="1" applyProtection="1">
      <alignment/>
      <protection hidden="1"/>
    </xf>
    <xf numFmtId="0" fontId="6" fillId="25" borderId="28" xfId="99" applyFont="1" applyFill="1" applyBorder="1" applyAlignment="1" applyProtection="1">
      <alignment horizontal="center"/>
      <protection hidden="1"/>
    </xf>
    <xf numFmtId="2" fontId="9" fillId="25" borderId="26" xfId="113" applyNumberFormat="1" applyFont="1" applyFill="1" applyBorder="1" applyAlignment="1" applyProtection="1">
      <alignment vertical="top" wrapText="1"/>
      <protection hidden="1"/>
    </xf>
    <xf numFmtId="2" fontId="9" fillId="25" borderId="0" xfId="113" applyNumberFormat="1" applyFont="1" applyFill="1" applyBorder="1" applyAlignment="1" applyProtection="1">
      <alignment vertical="top" wrapText="1"/>
      <protection hidden="1"/>
    </xf>
    <xf numFmtId="172" fontId="6" fillId="25" borderId="0" xfId="99" applyNumberFormat="1" applyFont="1" applyFill="1" applyBorder="1" applyAlignment="1" applyProtection="1">
      <alignment/>
      <protection hidden="1"/>
    </xf>
    <xf numFmtId="1" fontId="130" fillId="25" borderId="58" xfId="99" applyNumberFormat="1" applyFont="1" applyFill="1" applyBorder="1" applyAlignment="1" applyProtection="1">
      <alignment horizontal="center"/>
      <protection hidden="1"/>
    </xf>
    <xf numFmtId="1" fontId="130" fillId="25" borderId="40" xfId="99" applyNumberFormat="1" applyFont="1" applyFill="1" applyBorder="1" applyAlignment="1" applyProtection="1">
      <alignment horizontal="center"/>
      <protection hidden="1"/>
    </xf>
    <xf numFmtId="0" fontId="6" fillId="25" borderId="0" xfId="99" applyFont="1" applyFill="1" applyAlignment="1" applyProtection="1">
      <alignment/>
      <protection/>
    </xf>
    <xf numFmtId="0" fontId="130" fillId="25" borderId="39" xfId="113" applyFont="1" applyFill="1" applyBorder="1" applyAlignment="1">
      <alignment horizontal="center" wrapText="1"/>
      <protection/>
    </xf>
    <xf numFmtId="0" fontId="130" fillId="25" borderId="40" xfId="113" applyFont="1" applyFill="1" applyBorder="1" applyAlignment="1">
      <alignment horizontal="center" wrapText="1"/>
      <protection/>
    </xf>
    <xf numFmtId="0" fontId="6" fillId="0" borderId="0" xfId="87" applyFont="1" applyFill="1" applyBorder="1">
      <alignment/>
      <protection/>
    </xf>
    <xf numFmtId="0" fontId="6" fillId="0" borderId="18" xfId="87" applyFont="1" applyFill="1" applyBorder="1">
      <alignment/>
      <protection/>
    </xf>
    <xf numFmtId="2" fontId="6" fillId="25" borderId="0" xfId="113" applyNumberFormat="1" applyFont="1" applyFill="1" applyBorder="1" applyAlignment="1" applyProtection="1">
      <alignment/>
      <protection hidden="1"/>
    </xf>
    <xf numFmtId="0" fontId="6" fillId="0" borderId="0" xfId="111" applyFont="1" applyFill="1" applyBorder="1" applyAlignment="1" applyProtection="1">
      <alignment/>
      <protection hidden="1"/>
    </xf>
    <xf numFmtId="0" fontId="6" fillId="0" borderId="32" xfId="111" applyFont="1" applyFill="1" applyBorder="1" applyAlignment="1" applyProtection="1">
      <alignment/>
      <protection hidden="1"/>
    </xf>
    <xf numFmtId="0" fontId="16" fillId="25" borderId="31" xfId="0" applyFont="1" applyFill="1" applyBorder="1" applyAlignment="1">
      <alignment/>
    </xf>
    <xf numFmtId="0" fontId="16" fillId="25" borderId="32" xfId="0" applyFont="1" applyFill="1" applyBorder="1" applyAlignment="1">
      <alignment/>
    </xf>
    <xf numFmtId="172" fontId="15" fillId="25" borderId="0" xfId="99" applyNumberFormat="1" applyFont="1" applyFill="1" applyAlignment="1" applyProtection="1">
      <alignment horizontal="center"/>
      <protection hidden="1"/>
    </xf>
    <xf numFmtId="0" fontId="11" fillId="0" borderId="0" xfId="0" applyFont="1" applyAlignment="1" applyProtection="1">
      <alignment/>
      <protection hidden="1"/>
    </xf>
    <xf numFmtId="0" fontId="0" fillId="25" borderId="34" xfId="99" applyFont="1" applyFill="1" applyBorder="1" applyAlignment="1" applyProtection="1">
      <alignment/>
      <protection hidden="1"/>
    </xf>
    <xf numFmtId="0" fontId="0" fillId="0" borderId="34" xfId="0" applyBorder="1" applyAlignment="1">
      <alignment/>
    </xf>
    <xf numFmtId="0" fontId="16" fillId="25" borderId="33" xfId="0" applyFont="1" applyFill="1" applyBorder="1" applyAlignment="1">
      <alignment/>
    </xf>
    <xf numFmtId="0" fontId="16" fillId="25" borderId="35" xfId="0" applyFont="1" applyFill="1" applyBorder="1" applyAlignment="1">
      <alignment/>
    </xf>
    <xf numFmtId="2" fontId="6" fillId="25" borderId="0" xfId="99" applyNumberFormat="1" applyFont="1" applyFill="1" applyProtection="1">
      <alignment/>
      <protection hidden="1"/>
    </xf>
    <xf numFmtId="0" fontId="16" fillId="0" borderId="28" xfId="99" applyFont="1" applyFill="1" applyBorder="1" applyAlignment="1" applyProtection="1">
      <alignment horizontal="left" vertical="top"/>
      <protection/>
    </xf>
    <xf numFmtId="0" fontId="179" fillId="25" borderId="0" xfId="65" applyFont="1" applyFill="1" applyAlignment="1" applyProtection="1">
      <alignment horizontal="left"/>
      <protection hidden="1"/>
    </xf>
    <xf numFmtId="0" fontId="44" fillId="25" borderId="0" xfId="0" applyFont="1" applyFill="1" applyAlignment="1" applyProtection="1">
      <alignment/>
      <protection hidden="1"/>
    </xf>
    <xf numFmtId="0" fontId="148" fillId="25" borderId="0" xfId="99" applyFont="1" applyFill="1" applyAlignment="1" applyProtection="1">
      <alignment/>
      <protection hidden="1"/>
    </xf>
    <xf numFmtId="0" fontId="6" fillId="0" borderId="26" xfId="99" applyFont="1" applyFill="1" applyBorder="1" applyAlignment="1" applyProtection="1">
      <alignment horizontal="center"/>
      <protection hidden="1"/>
    </xf>
    <xf numFmtId="0" fontId="48" fillId="25" borderId="0" xfId="65" applyFont="1" applyFill="1" applyAlignment="1" applyProtection="1">
      <alignment/>
      <protection hidden="1"/>
    </xf>
    <xf numFmtId="0" fontId="26" fillId="25" borderId="0" xfId="104" applyNumberFormat="1" applyFont="1" applyFill="1" applyAlignment="1" applyProtection="1">
      <alignment horizontal="center" vertical="top" wrapText="1"/>
      <protection hidden="1"/>
    </xf>
    <xf numFmtId="0" fontId="133" fillId="25" borderId="16" xfId="97" applyFont="1" applyFill="1" applyBorder="1" applyAlignment="1" applyProtection="1">
      <alignment horizontal="left" vertical="top"/>
      <protection hidden="1"/>
    </xf>
    <xf numFmtId="0" fontId="133" fillId="25" borderId="0" xfId="97" applyFont="1" applyFill="1" applyBorder="1" applyAlignment="1" applyProtection="1">
      <alignment horizontal="left" vertical="top"/>
      <protection hidden="1"/>
    </xf>
    <xf numFmtId="0" fontId="115" fillId="25" borderId="0" xfId="104" applyFont="1" applyFill="1" applyAlignment="1" applyProtection="1">
      <alignment horizontal="left"/>
      <protection hidden="1"/>
    </xf>
    <xf numFmtId="0" fontId="6" fillId="25" borderId="0" xfId="104" applyFont="1" applyFill="1" applyAlignment="1" applyProtection="1">
      <alignment horizontal="left" vertical="center" wrapText="1"/>
      <protection hidden="1"/>
    </xf>
    <xf numFmtId="0" fontId="6" fillId="25" borderId="0" xfId="104" applyFont="1" applyFill="1" applyAlignment="1" applyProtection="1">
      <alignment horizontal="left"/>
      <protection hidden="1"/>
    </xf>
    <xf numFmtId="0" fontId="3" fillId="25" borderId="0" xfId="104" applyFont="1" applyFill="1" applyBorder="1" applyAlignment="1" applyProtection="1">
      <alignment/>
      <protection hidden="1"/>
    </xf>
    <xf numFmtId="0" fontId="103" fillId="25" borderId="0" xfId="104" applyFont="1" applyFill="1" applyBorder="1" applyAlignment="1" applyProtection="1">
      <alignment horizontal="left"/>
      <protection hidden="1"/>
    </xf>
    <xf numFmtId="0" fontId="141" fillId="25" borderId="0" xfId="104" applyFont="1" applyFill="1" applyAlignment="1" applyProtection="1">
      <alignment horizontal="left"/>
      <protection hidden="1"/>
    </xf>
    <xf numFmtId="0" fontId="0" fillId="0" borderId="0" xfId="118" applyAlignment="1">
      <alignment/>
      <protection/>
    </xf>
    <xf numFmtId="0" fontId="9" fillId="4" borderId="20" xfId="104" applyFont="1" applyFill="1" applyBorder="1" applyAlignment="1" applyProtection="1">
      <alignment horizontal="center"/>
      <protection hidden="1"/>
    </xf>
    <xf numFmtId="0" fontId="9" fillId="4" borderId="27" xfId="104" applyFont="1" applyFill="1" applyBorder="1" applyAlignment="1" applyProtection="1">
      <alignment horizontal="center"/>
      <protection hidden="1"/>
    </xf>
    <xf numFmtId="0" fontId="9" fillId="4" borderId="21" xfId="104" applyFont="1" applyFill="1" applyBorder="1" applyAlignment="1" applyProtection="1">
      <alignment horizontal="center"/>
      <protection hidden="1"/>
    </xf>
    <xf numFmtId="0" fontId="179" fillId="25" borderId="19" xfId="65" applyFont="1" applyFill="1" applyBorder="1" applyAlignment="1" applyProtection="1">
      <alignment horizontal="left" vertical="center" wrapText="1"/>
      <protection/>
    </xf>
    <xf numFmtId="0" fontId="179" fillId="0" borderId="20" xfId="65" applyFont="1" applyBorder="1" applyAlignment="1" applyProtection="1">
      <alignment vertical="center" wrapText="1"/>
      <protection/>
    </xf>
    <xf numFmtId="0" fontId="179" fillId="0" borderId="19" xfId="65" applyFont="1" applyBorder="1" applyAlignment="1" applyProtection="1">
      <alignment vertical="center" wrapText="1"/>
      <protection/>
    </xf>
    <xf numFmtId="0" fontId="6" fillId="25" borderId="10" xfId="103" applyFont="1" applyFill="1" applyBorder="1" applyAlignment="1" applyProtection="1">
      <alignment horizontal="center"/>
      <protection/>
    </xf>
    <xf numFmtId="0" fontId="6" fillId="25" borderId="25" xfId="103" applyFont="1" applyFill="1" applyBorder="1" applyAlignment="1" applyProtection="1">
      <alignment horizontal="center"/>
      <protection/>
    </xf>
    <xf numFmtId="0" fontId="6" fillId="25" borderId="0" xfId="94" applyFont="1" applyFill="1" applyBorder="1" applyAlignment="1" applyProtection="1">
      <alignment/>
      <protection hidden="1"/>
    </xf>
    <xf numFmtId="0" fontId="0" fillId="0" borderId="0" xfId="118" applyBorder="1" applyAlignment="1">
      <alignment/>
      <protection/>
    </xf>
    <xf numFmtId="0" fontId="141" fillId="25" borderId="0" xfId="104" applyFont="1" applyFill="1" applyAlignment="1" applyProtection="1">
      <alignment horizontal="left"/>
      <protection hidden="1"/>
    </xf>
    <xf numFmtId="0" fontId="97" fillId="25" borderId="0" xfId="104" applyNumberFormat="1" applyFont="1" applyFill="1" applyAlignment="1" applyProtection="1">
      <alignment horizontal="center"/>
      <protection hidden="1"/>
    </xf>
    <xf numFmtId="0" fontId="6" fillId="25" borderId="0" xfId="104" applyFont="1" applyFill="1" applyAlignment="1" applyProtection="1">
      <alignment/>
      <protection hidden="1"/>
    </xf>
    <xf numFmtId="0" fontId="6" fillId="25" borderId="0" xfId="104" applyFont="1" applyFill="1" applyAlignment="1" applyProtection="1">
      <alignment vertical="center" wrapText="1"/>
      <protection hidden="1"/>
    </xf>
    <xf numFmtId="0" fontId="6" fillId="25" borderId="0" xfId="104" applyNumberFormat="1" applyFont="1" applyFill="1" applyAlignment="1" applyProtection="1">
      <alignment/>
      <protection hidden="1"/>
    </xf>
    <xf numFmtId="0" fontId="6" fillId="25" borderId="0" xfId="104" applyNumberFormat="1" applyFont="1" applyFill="1" applyAlignment="1" applyProtection="1">
      <alignment horizontal="left"/>
      <protection hidden="1"/>
    </xf>
    <xf numFmtId="0" fontId="103" fillId="25" borderId="0" xfId="118" applyNumberFormat="1" applyFont="1" applyFill="1" applyAlignment="1" applyProtection="1">
      <alignment horizontal="right"/>
      <protection hidden="1"/>
    </xf>
  </cellXfs>
  <cellStyles count="11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_Pete's YoBrew Beer Calc's v1.1 DO NOT LOCK" xfId="67"/>
    <cellStyle name="Hyperlink_Pete's YoBrew Wine, Jam Etc. Calc's v1.1 DO NOT LOCK" xfId="68"/>
    <cellStyle name="Hyperlink_Pete's YoBrew Wine, Jam Etc. Calc's v1.2" xfId="69"/>
    <cellStyle name="Hyperlink_Pete's_YoBrew_Wine,_Jam_Etc._Calc's_v1.3" xfId="70"/>
    <cellStyle name="Input" xfId="71"/>
    <cellStyle name="Linked Cell" xfId="72"/>
    <cellStyle name="Neutral" xfId="73"/>
    <cellStyle name="Normal 2" xfId="74"/>
    <cellStyle name="Normal 3" xfId="75"/>
    <cellStyle name="Normal_)" xfId="76"/>
    <cellStyle name="Normal_)_Pete's YoBrew Wine, Jam Etc. Calc's v1.1 DO NOT LOCK" xfId="77"/>
    <cellStyle name="Normal_Beer Kit Calc's Etc_1" xfId="78"/>
    <cellStyle name="Normal_Beer Kit Calc's Etc_2" xfId="79"/>
    <cellStyle name="Normal_Peter's B &amp; W Ca" xfId="80"/>
    <cellStyle name="Normal_Peter's B &amp; W Calc  1.03work" xfId="81"/>
    <cellStyle name="Normal_Peter's B &amp; W Calc  1.03work_Pete's YoBrew Beer Calc's v1.1 DO NOT LOCK" xfId="82"/>
    <cellStyle name="Normal_Peter's B &amp; W Calc  1.03work_Pete's YoBrew Wine, Jam Etc. Calc's v1.1 DO NOT LOCK" xfId="83"/>
    <cellStyle name="Normal_Peter's B &amp; W Calc  1.05" xfId="84"/>
    <cellStyle name="Normal_Peter's B &amp; W Calc  1.05_Pete's YoBrew Beer Calc's v1.1 DO NOT LOCK" xfId="85"/>
    <cellStyle name="Normal_Peter's B &amp; W Calc  1.05_Pete's YoBrew Wine, Jam Etc. Calc's v1.1 DO NOT LOCK" xfId="86"/>
    <cellStyle name="Normal_Pete's YoBrew Ca" xfId="87"/>
    <cellStyle name="Normal_Pete's YoBrew Ca_General Calc's" xfId="88"/>
    <cellStyle name="Normal_Pete's YoBrew Calcs v1.12" xfId="89"/>
    <cellStyle name="Normal_Pete's YoBrew Calcs v1.12_Pete's YoBrew Beer Calc's v1.1 DO NOT LOCK" xfId="90"/>
    <cellStyle name="Normal_Pete's YoBrew Calcs v1.12_Pete's YoBrew Wine, Jam Etc. Calc's v1.1 DO NOT LOCK" xfId="91"/>
    <cellStyle name="Normal_Pete's YoBrew Calcs v1.12_Petes_YoBrew_Calcs_v2.0_Excel_Deff" xfId="92"/>
    <cellStyle name="Normal_Pete's YoBrew Calcs v1.2-Excel" xfId="93"/>
    <cellStyle name="Normal_Pete's YoBrew Calcs v1.2-Excel Final" xfId="94"/>
    <cellStyle name="Normal_Pete's YoBrew Calcs v1.2-Excel_)" xfId="95"/>
    <cellStyle name="Normal_Pete's YoBrew Calcs v1.2-Excel_)_Pete's YoBrew Wine, Jam Etc. Calc's v1.1 DO NOT LOCK" xfId="96"/>
    <cellStyle name="Normal_Pete's YoBrew Calcs v1.2-Excel_1" xfId="97"/>
    <cellStyle name="Normal_Pete's YoBrew Calcs v1.2-Excel_1_Pete's YoBrew Beer Calc's v1.1 DO NOT LOCK" xfId="98"/>
    <cellStyle name="Normal_Pete's YoBrew Calcs v1.2-Excel_1_Pete's YoBrew Wine, Jam Etc. Calc's v1.1 DO NOT LOCK" xfId="99"/>
    <cellStyle name="Normal_Pete's YoBrew Calcs v1.2-Excel_1_Pete's_YoBrew_Wine,_Jam_Etc._Calc's_v1.3" xfId="100"/>
    <cellStyle name="Normal_Pete's YoBrew Calcs v1.2-Excel_Pete's YoBrew Calcs v1.4-ExcelM" xfId="101"/>
    <cellStyle name="Normal_Pete's YoBrew Calcs v1.2-Excel_Pete's YoBrew Calcs v1.4-ExcelM_Pete's YoBrew Wine, Jam Etc. Calc's v1.1 DO NOT LOCK" xfId="102"/>
    <cellStyle name="Normal_Pete's YoBrew Calcs v1.2-Excel_Pete's YoBrew Calcs v1.4-ExcelM_Pete's YoBrew Wine, Jam Etc. Calc's v1.2" xfId="103"/>
    <cellStyle name="Normal_Pete's YoBrew Calcs v1.2-Excel_Pete's YoBrew Calcs v1.4-ExcelM_Pete's_YoBrew_Wine,_Jam_Etc._Calc's_v1.3" xfId="104"/>
    <cellStyle name="Normal_Pete's YoBrew Calcs v1.2-Excel_Pete's YoBrew Calcs v1.5-WIP" xfId="105"/>
    <cellStyle name="Normal_Pete's YoBrew Calcs v1.2-Excel_XPeter's B &amp; W Calc  1.051Work2mod workM" xfId="106"/>
    <cellStyle name="Normal_Pete's YoBrew Calcs v1.4-ExcelM" xfId="107"/>
    <cellStyle name="Normal_Pete's YoBrew Calcs v1.4-ExcelMASTER" xfId="108"/>
    <cellStyle name="Normal_Pete's YoBrew Calcs v1.4-ExcelMASTER_Pete's YoBrew Beer Calc's v1.1 DO NOT LOCK" xfId="109"/>
    <cellStyle name="Normal_Pete's YoBrew Calcs v1.-5" xfId="110"/>
    <cellStyle name="Normal_Pete's YoBrew Calcs v1.5-WIP" xfId="111"/>
    <cellStyle name="Normal_Pete's YoBrew Calcs v1.5-WIP_Pete's YoBrew Beer Calc's v1.1 DO NOT LOCK" xfId="112"/>
    <cellStyle name="Normal_Pete's YoBrew Calcs v1.5-WIP_Pete's YoBrew Wine, Jam Etc. Calc's v1.1 DO NOT LOCK" xfId="113"/>
    <cellStyle name="Normal_Pete's YoBrew Calcs v1.5-WIP_Wine Calc " xfId="114"/>
    <cellStyle name="Normal_Pete's YoBrew Wine, Jam Etc. Calc's v1.2" xfId="115"/>
    <cellStyle name="Normal_Petes_YoBrew_Calcs_v1.9_Excel_Work" xfId="116"/>
    <cellStyle name="Normal_Petes_YoBrew_Calcs_v2.0_Excel_Deff" xfId="117"/>
    <cellStyle name="Normal_Pete's_YoBrew_Wine,_Jam_Etc._Calc's_v1.3" xfId="118"/>
    <cellStyle name="Normal_Primer" xfId="119"/>
    <cellStyle name="Normal_yeast average efficiency" xfId="120"/>
    <cellStyle name="Normal_YOBREW Beer Primer" xfId="121"/>
    <cellStyle name="Normal_YOBREW Beer Primer_Pete's YoBrew Wine, Jam Etc. Calc's v1.1 DO NOT LOCK" xfId="122"/>
    <cellStyle name="Note" xfId="123"/>
    <cellStyle name="Note 2" xfId="124"/>
    <cellStyle name="Output" xfId="125"/>
    <cellStyle name="Percent" xfId="126"/>
    <cellStyle name="Percent 2" xfId="127"/>
    <cellStyle name="Percent 2 2" xfId="128"/>
    <cellStyle name="Percent 2_1.6.Wine_&amp;_Ja" xfId="129"/>
    <cellStyle name="Title" xfId="130"/>
    <cellStyle name="Total" xfId="131"/>
    <cellStyle name="Warning Text" xfId="132"/>
  </cellStyles>
  <dxfs count="12">
    <dxf>
      <font>
        <color indexed="10"/>
      </font>
    </dxf>
    <dxf>
      <font>
        <color auto="1"/>
      </font>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52"/>
        </patternFill>
      </fill>
    </dxf>
    <dxf>
      <fill>
        <patternFill>
          <bgColor indexed="52"/>
        </patternFill>
      </fill>
    </dxf>
    <dxf>
      <fill>
        <patternFill>
          <bgColor indexed="10"/>
        </patternFill>
      </fill>
    </dxf>
    <dxf>
      <fill>
        <patternFill>
          <bgColor indexed="1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xdr:col>
      <xdr:colOff>2943225</xdr:colOff>
      <xdr:row>10</xdr:row>
      <xdr:rowOff>152400</xdr:rowOff>
    </xdr:to>
    <xdr:sp>
      <xdr:nvSpPr>
        <xdr:cNvPr id="1" name="Text Box 1"/>
        <xdr:cNvSpPr txBox="1">
          <a:spLocks noChangeArrowheads="1"/>
        </xdr:cNvSpPr>
      </xdr:nvSpPr>
      <xdr:spPr>
        <a:xfrm>
          <a:off x="0" y="638175"/>
          <a:ext cx="6276975" cy="1666875"/>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950" b="0" i="0" u="none" baseline="0">
              <a:solidFill>
                <a:srgbClr val="000000"/>
              </a:solidFill>
              <a:latin typeface="Times New Roman"/>
              <a:ea typeface="Times New Roman"/>
              <a:cs typeface="Times New Roman"/>
            </a:rPr>
            <a:t>The original versions of the calc's were all written using the metric system of weights &amp; measures as it was, more or less, a universal system. The only concessions given to users of the horrible Imperial &amp; the even worse US units, was a conversion from litres to Imperial &amp; US gallons, even they are not the same - but at least the British pint &amp; gallon are bigger than the US counterpart (the only things that are!). Canada &amp; Australia both use the Imperial system.
</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Times New Roman"/>
              <a:ea typeface="Times New Roman"/>
              <a:cs typeface="Times New Roman"/>
            </a:rPr>
            <a:t>This version has been simplified, it still uses litres (or liters) to overcomes the volume problems &amp;, unfortunately, the wine calc. is a veritable pig to use for juices &amp; tinned fruit because of the lack of consistency from manufactures when using the US nomenclature.
</a:t>
          </a:r>
          <a:r>
            <a:rPr lang="en-US" cap="none" sz="95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least it is very handy way of converting recipes to metric.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84</xdr:row>
      <xdr:rowOff>133350</xdr:rowOff>
    </xdr:from>
    <xdr:to>
      <xdr:col>19</xdr:col>
      <xdr:colOff>266700</xdr:colOff>
      <xdr:row>95</xdr:row>
      <xdr:rowOff>28575</xdr:rowOff>
    </xdr:to>
    <xdr:pic>
      <xdr:nvPicPr>
        <xdr:cNvPr id="1" name="Picture 179" descr="COLOUR CHART 2 Yell"/>
        <xdr:cNvPicPr preferRelativeResize="1">
          <a:picLocks noChangeAspect="1"/>
        </xdr:cNvPicPr>
      </xdr:nvPicPr>
      <xdr:blipFill>
        <a:blip r:embed="rId1"/>
        <a:stretch>
          <a:fillRect/>
        </a:stretch>
      </xdr:blipFill>
      <xdr:spPr>
        <a:xfrm>
          <a:off x="228600" y="16182975"/>
          <a:ext cx="8258175" cy="1990725"/>
        </a:xfrm>
        <a:prstGeom prst="rect">
          <a:avLst/>
        </a:prstGeom>
        <a:noFill/>
        <a:ln w="9525" cmpd="sng">
          <a:noFill/>
        </a:ln>
      </xdr:spPr>
    </xdr:pic>
    <xdr:clientData/>
  </xdr:twoCellAnchor>
  <xdr:twoCellAnchor>
    <xdr:from>
      <xdr:col>5</xdr:col>
      <xdr:colOff>180975</xdr:colOff>
      <xdr:row>48</xdr:row>
      <xdr:rowOff>0</xdr:rowOff>
    </xdr:from>
    <xdr:to>
      <xdr:col>5</xdr:col>
      <xdr:colOff>180975</xdr:colOff>
      <xdr:row>49</xdr:row>
      <xdr:rowOff>28575</xdr:rowOff>
    </xdr:to>
    <xdr:sp>
      <xdr:nvSpPr>
        <xdr:cNvPr id="2" name="Line 180"/>
        <xdr:cNvSpPr>
          <a:spLocks/>
        </xdr:cNvSpPr>
      </xdr:nvSpPr>
      <xdr:spPr>
        <a:xfrm flipV="1">
          <a:off x="3467100" y="91916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19</xdr:col>
      <xdr:colOff>28575</xdr:colOff>
      <xdr:row>65</xdr:row>
      <xdr:rowOff>95250</xdr:rowOff>
    </xdr:from>
    <xdr:to>
      <xdr:col>23</xdr:col>
      <xdr:colOff>257175</xdr:colOff>
      <xdr:row>71</xdr:row>
      <xdr:rowOff>66675</xdr:rowOff>
    </xdr:to>
    <xdr:pic>
      <xdr:nvPicPr>
        <xdr:cNvPr id="3" name="rg_hi" descr="ANd9GcRgwFkhRyPaU7SN7V6XYe-wjR07Go33YW8VutqOQc-bE6z6CYBNLg"/>
        <xdr:cNvPicPr preferRelativeResize="1">
          <a:picLocks noChangeAspect="1"/>
        </xdr:cNvPicPr>
      </xdr:nvPicPr>
      <xdr:blipFill>
        <a:blip r:embed="rId2"/>
        <a:stretch>
          <a:fillRect/>
        </a:stretch>
      </xdr:blipFill>
      <xdr:spPr>
        <a:xfrm>
          <a:off x="8248650" y="12525375"/>
          <a:ext cx="1638300" cy="1114425"/>
        </a:xfrm>
        <a:prstGeom prst="rect">
          <a:avLst/>
        </a:prstGeom>
        <a:noFill/>
        <a:ln w="9525" cmpd="sng">
          <a:noFill/>
        </a:ln>
      </xdr:spPr>
    </xdr:pic>
    <xdr:clientData/>
  </xdr:twoCellAnchor>
  <xdr:twoCellAnchor>
    <xdr:from>
      <xdr:col>0</xdr:col>
      <xdr:colOff>9525</xdr:colOff>
      <xdr:row>104</xdr:row>
      <xdr:rowOff>9525</xdr:rowOff>
    </xdr:from>
    <xdr:to>
      <xdr:col>40</xdr:col>
      <xdr:colOff>9525</xdr:colOff>
      <xdr:row>132</xdr:row>
      <xdr:rowOff>0</xdr:rowOff>
    </xdr:to>
    <xdr:sp fLocksText="0">
      <xdr:nvSpPr>
        <xdr:cNvPr id="4" name="Text Box 19"/>
        <xdr:cNvSpPr txBox="1">
          <a:spLocks noChangeArrowheads="1"/>
        </xdr:cNvSpPr>
      </xdr:nvSpPr>
      <xdr:spPr>
        <a:xfrm>
          <a:off x="9525" y="19240500"/>
          <a:ext cx="11468100" cy="4791075"/>
        </a:xfrm>
        <a:prstGeom prst="rect">
          <a:avLst/>
        </a:prstGeom>
        <a:solidFill>
          <a:srgbClr val="FFFFFF"/>
        </a:solidFill>
        <a:ln w="9525" cmpd="sng">
          <a:solidFill>
            <a:srgbClr val="808080"/>
          </a:solidFill>
          <a:headEnd type="none"/>
          <a:tailEnd type="none"/>
        </a:ln>
      </xdr:spPr>
      <xdr:txBody>
        <a:bodyPr vertOverflow="clip" wrap="square" lIns="27432" tIns="22860" rIns="0" bIns="0"/>
        <a:p>
          <a:pPr algn="l">
            <a:defRPr/>
          </a:pPr>
          <a:r>
            <a:rPr lang="en-US" cap="none" sz="1000" b="0" i="0" u="sng" baseline="0">
              <a:solidFill>
                <a:srgbClr val="000000"/>
              </a:solidFill>
              <a:latin typeface="Times New Roman"/>
              <a:ea typeface="Times New Roman"/>
              <a:cs typeface="Times New Roman"/>
            </a:rPr>
            <a:t>NOTES:-</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28</xdr:row>
      <xdr:rowOff>38100</xdr:rowOff>
    </xdr:from>
    <xdr:to>
      <xdr:col>8</xdr:col>
      <xdr:colOff>1162050</xdr:colOff>
      <xdr:row>30</xdr:row>
      <xdr:rowOff>171450</xdr:rowOff>
    </xdr:to>
    <xdr:pic>
      <xdr:nvPicPr>
        <xdr:cNvPr id="1" name="rg_hi" descr="ANd9GcQ1sQJHTKqqziSriZtMc9H-QMp4n9NZ0rI4jMlDE4a061YXndbl"/>
        <xdr:cNvPicPr preferRelativeResize="1">
          <a:picLocks noChangeAspect="1"/>
        </xdr:cNvPicPr>
      </xdr:nvPicPr>
      <xdr:blipFill>
        <a:blip r:embed="rId1"/>
        <a:stretch>
          <a:fillRect/>
        </a:stretch>
      </xdr:blipFill>
      <xdr:spPr>
        <a:xfrm>
          <a:off x="4362450" y="4895850"/>
          <a:ext cx="819150" cy="514350"/>
        </a:xfrm>
        <a:prstGeom prst="rect">
          <a:avLst/>
        </a:prstGeom>
        <a:noFill/>
        <a:ln w="9525" cmpd="sng">
          <a:noFill/>
        </a:ln>
      </xdr:spPr>
    </xdr:pic>
    <xdr:clientData/>
  </xdr:twoCellAnchor>
  <xdr:twoCellAnchor>
    <xdr:from>
      <xdr:col>1</xdr:col>
      <xdr:colOff>19050</xdr:colOff>
      <xdr:row>84</xdr:row>
      <xdr:rowOff>38100</xdr:rowOff>
    </xdr:from>
    <xdr:to>
      <xdr:col>19</xdr:col>
      <xdr:colOff>66675</xdr:colOff>
      <xdr:row>99</xdr:row>
      <xdr:rowOff>0</xdr:rowOff>
    </xdr:to>
    <xdr:sp fLocksText="0">
      <xdr:nvSpPr>
        <xdr:cNvPr id="2" name="Text Box 19"/>
        <xdr:cNvSpPr txBox="1">
          <a:spLocks noChangeArrowheads="1"/>
        </xdr:cNvSpPr>
      </xdr:nvSpPr>
      <xdr:spPr>
        <a:xfrm>
          <a:off x="85725" y="15182850"/>
          <a:ext cx="10067925" cy="2533650"/>
        </a:xfrm>
        <a:prstGeom prst="rect">
          <a:avLst/>
        </a:prstGeom>
        <a:solidFill>
          <a:srgbClr val="FFFFFF"/>
        </a:solidFill>
        <a:ln w="9525" cmpd="sng">
          <a:solidFill>
            <a:srgbClr val="808080"/>
          </a:solidFill>
          <a:headEnd type="none"/>
          <a:tailEnd type="none"/>
        </a:ln>
      </xdr:spPr>
      <xdr:txBody>
        <a:bodyPr vertOverflow="clip" wrap="square" lIns="27432" tIns="22860" rIns="0" bIns="0"/>
        <a:p>
          <a:pPr algn="l">
            <a:defRPr/>
          </a:pPr>
          <a:r>
            <a:rPr lang="en-US" cap="none" sz="1000" b="0" i="0" u="sng" baseline="0">
              <a:solidFill>
                <a:srgbClr val="000000"/>
              </a:solidFill>
              <a:latin typeface="Times New Roman"/>
              <a:ea typeface="Times New Roman"/>
              <a:cs typeface="Times New Roman"/>
            </a:rPr>
            <a:t>NOTES:-</a:t>
          </a:r>
          <a:r>
            <a:rPr lang="en-US" cap="none" sz="1000" b="0" i="0" u="none" baseline="0">
              <a:solidFill>
                <a:srgbClr val="000000"/>
              </a:solidFill>
              <a:latin typeface="Times New Roman"/>
              <a:ea typeface="Times New Roman"/>
              <a:cs typeface="Times New Roman"/>
            </a:rPr>
            <a:t>
</a:t>
          </a:r>
        </a:p>
      </xdr:txBody>
    </xdr:sp>
    <xdr:clientData/>
  </xdr:twoCellAnchor>
  <xdr:twoCellAnchor editAs="oneCell">
    <xdr:from>
      <xdr:col>0</xdr:col>
      <xdr:colOff>28575</xdr:colOff>
      <xdr:row>13</xdr:row>
      <xdr:rowOff>19050</xdr:rowOff>
    </xdr:from>
    <xdr:to>
      <xdr:col>18</xdr:col>
      <xdr:colOff>361950</xdr:colOff>
      <xdr:row>17</xdr:row>
      <xdr:rowOff>104775</xdr:rowOff>
    </xdr:to>
    <xdr:pic>
      <xdr:nvPicPr>
        <xdr:cNvPr id="3" name="Picture 343" descr="COLOUR2red"/>
        <xdr:cNvPicPr preferRelativeResize="1">
          <a:picLocks noChangeAspect="1"/>
        </xdr:cNvPicPr>
      </xdr:nvPicPr>
      <xdr:blipFill>
        <a:blip r:embed="rId2"/>
        <a:srcRect t="9910"/>
        <a:stretch>
          <a:fillRect/>
        </a:stretch>
      </xdr:blipFill>
      <xdr:spPr>
        <a:xfrm>
          <a:off x="28575" y="2095500"/>
          <a:ext cx="992505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125</xdr:row>
      <xdr:rowOff>9525</xdr:rowOff>
    </xdr:from>
    <xdr:to>
      <xdr:col>9</xdr:col>
      <xdr:colOff>161925</xdr:colOff>
      <xdr:row>133</xdr:row>
      <xdr:rowOff>171450</xdr:rowOff>
    </xdr:to>
    <xdr:sp>
      <xdr:nvSpPr>
        <xdr:cNvPr id="1" name="AutoShape 3"/>
        <xdr:cNvSpPr>
          <a:spLocks/>
        </xdr:cNvSpPr>
      </xdr:nvSpPr>
      <xdr:spPr>
        <a:xfrm>
          <a:off x="6143625" y="22812375"/>
          <a:ext cx="161925" cy="1685925"/>
        </a:xfrm>
        <a:prstGeom prst="rightBrace">
          <a:avLst>
            <a:gd name="adj1" fmla="val -46583"/>
            <a:gd name="adj2" fmla="val 488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135</xdr:row>
      <xdr:rowOff>9525</xdr:rowOff>
    </xdr:from>
    <xdr:to>
      <xdr:col>9</xdr:col>
      <xdr:colOff>171450</xdr:colOff>
      <xdr:row>153</xdr:row>
      <xdr:rowOff>180975</xdr:rowOff>
    </xdr:to>
    <xdr:sp>
      <xdr:nvSpPr>
        <xdr:cNvPr id="2" name="AutoShape 4"/>
        <xdr:cNvSpPr>
          <a:spLocks/>
        </xdr:cNvSpPr>
      </xdr:nvSpPr>
      <xdr:spPr>
        <a:xfrm>
          <a:off x="6143625" y="24698325"/>
          <a:ext cx="171450" cy="3524250"/>
        </a:xfrm>
        <a:prstGeom prst="rightBrace">
          <a:avLst>
            <a:gd name="adj1" fmla="val -46583"/>
            <a:gd name="adj2" fmla="val -3004"/>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155</xdr:row>
      <xdr:rowOff>19050</xdr:rowOff>
    </xdr:from>
    <xdr:to>
      <xdr:col>9</xdr:col>
      <xdr:colOff>161925</xdr:colOff>
      <xdr:row>166</xdr:row>
      <xdr:rowOff>180975</xdr:rowOff>
    </xdr:to>
    <xdr:sp>
      <xdr:nvSpPr>
        <xdr:cNvPr id="3" name="AutoShape 5"/>
        <xdr:cNvSpPr>
          <a:spLocks/>
        </xdr:cNvSpPr>
      </xdr:nvSpPr>
      <xdr:spPr>
        <a:xfrm>
          <a:off x="6153150" y="28441650"/>
          <a:ext cx="152400" cy="2257425"/>
        </a:xfrm>
        <a:prstGeom prst="rightBrace">
          <a:avLst>
            <a:gd name="adj1" fmla="val -46583"/>
            <a:gd name="adj2" fmla="val 9324"/>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438150</xdr:colOff>
      <xdr:row>168</xdr:row>
      <xdr:rowOff>9525</xdr:rowOff>
    </xdr:from>
    <xdr:to>
      <xdr:col>9</xdr:col>
      <xdr:colOff>152400</xdr:colOff>
      <xdr:row>176</xdr:row>
      <xdr:rowOff>171450</xdr:rowOff>
    </xdr:to>
    <xdr:sp>
      <xdr:nvSpPr>
        <xdr:cNvPr id="4" name="AutoShape 6"/>
        <xdr:cNvSpPr>
          <a:spLocks/>
        </xdr:cNvSpPr>
      </xdr:nvSpPr>
      <xdr:spPr>
        <a:xfrm>
          <a:off x="6115050" y="30908625"/>
          <a:ext cx="180975" cy="1685925"/>
        </a:xfrm>
        <a:prstGeom prst="rightBrace">
          <a:avLst>
            <a:gd name="adj1" fmla="val -46583"/>
            <a:gd name="adj2" fmla="val 563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38100</xdr:colOff>
      <xdr:row>122</xdr:row>
      <xdr:rowOff>95250</xdr:rowOff>
    </xdr:from>
    <xdr:to>
      <xdr:col>7</xdr:col>
      <xdr:colOff>619125</xdr:colOff>
      <xdr:row>122</xdr:row>
      <xdr:rowOff>95250</xdr:rowOff>
    </xdr:to>
    <xdr:sp>
      <xdr:nvSpPr>
        <xdr:cNvPr id="5" name="Line 7"/>
        <xdr:cNvSpPr>
          <a:spLocks/>
        </xdr:cNvSpPr>
      </xdr:nvSpPr>
      <xdr:spPr>
        <a:xfrm flipV="1">
          <a:off x="3952875" y="22326600"/>
          <a:ext cx="11430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122</xdr:row>
      <xdr:rowOff>95250</xdr:rowOff>
    </xdr:from>
    <xdr:to>
      <xdr:col>5</xdr:col>
      <xdr:colOff>466725</xdr:colOff>
      <xdr:row>122</xdr:row>
      <xdr:rowOff>95250</xdr:rowOff>
    </xdr:to>
    <xdr:sp>
      <xdr:nvSpPr>
        <xdr:cNvPr id="6" name="Line 8"/>
        <xdr:cNvSpPr>
          <a:spLocks/>
        </xdr:cNvSpPr>
      </xdr:nvSpPr>
      <xdr:spPr>
        <a:xfrm flipH="1">
          <a:off x="2943225" y="22326600"/>
          <a:ext cx="8953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7</xdr:col>
      <xdr:colOff>400050</xdr:colOff>
      <xdr:row>33</xdr:row>
      <xdr:rowOff>9525</xdr:rowOff>
    </xdr:from>
    <xdr:to>
      <xdr:col>8</xdr:col>
      <xdr:colOff>19050</xdr:colOff>
      <xdr:row>35</xdr:row>
      <xdr:rowOff>171450</xdr:rowOff>
    </xdr:to>
    <xdr:pic>
      <xdr:nvPicPr>
        <xdr:cNvPr id="7" name="rg_hi" descr="ANd9GcQ1sQJHTKqqziSriZtMc9H-QMp4n9NZ0rI4jMlDE4a061YXndbl"/>
        <xdr:cNvPicPr preferRelativeResize="1">
          <a:picLocks noChangeAspect="1"/>
        </xdr:cNvPicPr>
      </xdr:nvPicPr>
      <xdr:blipFill>
        <a:blip r:embed="rId1"/>
        <a:stretch>
          <a:fillRect/>
        </a:stretch>
      </xdr:blipFill>
      <xdr:spPr>
        <a:xfrm>
          <a:off x="4876800" y="6105525"/>
          <a:ext cx="819150" cy="523875"/>
        </a:xfrm>
        <a:prstGeom prst="rect">
          <a:avLst/>
        </a:prstGeom>
        <a:noFill/>
        <a:ln w="9525" cmpd="sng">
          <a:noFill/>
        </a:ln>
      </xdr:spPr>
    </xdr:pic>
    <xdr:clientData/>
  </xdr:twoCellAnchor>
  <xdr:twoCellAnchor>
    <xdr:from>
      <xdr:col>0</xdr:col>
      <xdr:colOff>133350</xdr:colOff>
      <xdr:row>71</xdr:row>
      <xdr:rowOff>66675</xdr:rowOff>
    </xdr:from>
    <xdr:to>
      <xdr:col>17</xdr:col>
      <xdr:colOff>304800</xdr:colOff>
      <xdr:row>89</xdr:row>
      <xdr:rowOff>133350</xdr:rowOff>
    </xdr:to>
    <xdr:sp fLocksText="0">
      <xdr:nvSpPr>
        <xdr:cNvPr id="8" name="Text Box 19"/>
        <xdr:cNvSpPr txBox="1">
          <a:spLocks noChangeArrowheads="1"/>
        </xdr:cNvSpPr>
      </xdr:nvSpPr>
      <xdr:spPr>
        <a:xfrm>
          <a:off x="133350" y="13039725"/>
          <a:ext cx="9505950" cy="332422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14</xdr:row>
      <xdr:rowOff>9525</xdr:rowOff>
    </xdr:from>
    <xdr:to>
      <xdr:col>14</xdr:col>
      <xdr:colOff>476250</xdr:colOff>
      <xdr:row>18</xdr:row>
      <xdr:rowOff>104775</xdr:rowOff>
    </xdr:to>
    <xdr:pic>
      <xdr:nvPicPr>
        <xdr:cNvPr id="9" name="Picture 343" descr="COLOUR2red"/>
        <xdr:cNvPicPr preferRelativeResize="1">
          <a:picLocks noChangeAspect="1"/>
        </xdr:cNvPicPr>
      </xdr:nvPicPr>
      <xdr:blipFill>
        <a:blip r:embed="rId2"/>
        <a:srcRect t="13999"/>
        <a:stretch>
          <a:fillRect/>
        </a:stretch>
      </xdr:blipFill>
      <xdr:spPr>
        <a:xfrm>
          <a:off x="0" y="2667000"/>
          <a:ext cx="9001125"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59</xdr:row>
      <xdr:rowOff>95250</xdr:rowOff>
    </xdr:from>
    <xdr:to>
      <xdr:col>3</xdr:col>
      <xdr:colOff>304800</xdr:colOff>
      <xdr:row>59</xdr:row>
      <xdr:rowOff>95250</xdr:rowOff>
    </xdr:to>
    <xdr:sp>
      <xdr:nvSpPr>
        <xdr:cNvPr id="1" name="Line 1"/>
        <xdr:cNvSpPr>
          <a:spLocks/>
        </xdr:cNvSpPr>
      </xdr:nvSpPr>
      <xdr:spPr>
        <a:xfrm>
          <a:off x="1562100" y="1057275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323850</xdr:colOff>
      <xdr:row>59</xdr:row>
      <xdr:rowOff>104775</xdr:rowOff>
    </xdr:from>
    <xdr:to>
      <xdr:col>5</xdr:col>
      <xdr:colOff>95250</xdr:colOff>
      <xdr:row>59</xdr:row>
      <xdr:rowOff>104775</xdr:rowOff>
    </xdr:to>
    <xdr:sp>
      <xdr:nvSpPr>
        <xdr:cNvPr id="2" name="Line 2"/>
        <xdr:cNvSpPr>
          <a:spLocks/>
        </xdr:cNvSpPr>
      </xdr:nvSpPr>
      <xdr:spPr>
        <a:xfrm>
          <a:off x="2800350" y="1058227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723900</xdr:colOff>
      <xdr:row>68</xdr:row>
      <xdr:rowOff>85725</xdr:rowOff>
    </xdr:from>
    <xdr:to>
      <xdr:col>4</xdr:col>
      <xdr:colOff>400050</xdr:colOff>
      <xdr:row>68</xdr:row>
      <xdr:rowOff>85725</xdr:rowOff>
    </xdr:to>
    <xdr:sp>
      <xdr:nvSpPr>
        <xdr:cNvPr id="3" name="Line 3"/>
        <xdr:cNvSpPr>
          <a:spLocks/>
        </xdr:cNvSpPr>
      </xdr:nvSpPr>
      <xdr:spPr>
        <a:xfrm>
          <a:off x="2466975" y="1216342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1466850</xdr:colOff>
      <xdr:row>1</xdr:row>
      <xdr:rowOff>76200</xdr:rowOff>
    </xdr:from>
    <xdr:to>
      <xdr:col>11</xdr:col>
      <xdr:colOff>1457325</xdr:colOff>
      <xdr:row>9</xdr:row>
      <xdr:rowOff>171450</xdr:rowOff>
    </xdr:to>
    <xdr:pic>
      <xdr:nvPicPr>
        <xdr:cNvPr id="1" name="Picture1" descr="COLOUR CHART 2 Yell"/>
        <xdr:cNvPicPr preferRelativeResize="1">
          <a:picLocks noChangeAspect="1"/>
        </xdr:cNvPicPr>
      </xdr:nvPicPr>
      <xdr:blipFill>
        <a:blip r:embed="rId1"/>
        <a:stretch>
          <a:fillRect/>
        </a:stretch>
      </xdr:blipFill>
      <xdr:spPr>
        <a:xfrm>
          <a:off x="1466850" y="304800"/>
          <a:ext cx="6943725" cy="1619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214</xdr:row>
      <xdr:rowOff>9525</xdr:rowOff>
    </xdr:from>
    <xdr:to>
      <xdr:col>18</xdr:col>
      <xdr:colOff>390525</xdr:colOff>
      <xdr:row>257</xdr:row>
      <xdr:rowOff>0</xdr:rowOff>
    </xdr:to>
    <xdr:sp>
      <xdr:nvSpPr>
        <xdr:cNvPr id="1" name="Rectangle 20"/>
        <xdr:cNvSpPr>
          <a:spLocks/>
        </xdr:cNvSpPr>
      </xdr:nvSpPr>
      <xdr:spPr>
        <a:xfrm>
          <a:off x="152400" y="36585525"/>
          <a:ext cx="9525000" cy="73628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NOTES:-</a:t>
          </a:r>
        </a:p>
      </xdr:txBody>
    </xdr:sp>
    <xdr:clientData fLocksWithSheet="0"/>
  </xdr:twoCellAnchor>
  <xdr:twoCellAnchor>
    <xdr:from>
      <xdr:col>16</xdr:col>
      <xdr:colOff>19050</xdr:colOff>
      <xdr:row>2</xdr:row>
      <xdr:rowOff>28575</xdr:rowOff>
    </xdr:from>
    <xdr:to>
      <xdr:col>16</xdr:col>
      <xdr:colOff>95250</xdr:colOff>
      <xdr:row>3</xdr:row>
      <xdr:rowOff>152400</xdr:rowOff>
    </xdr:to>
    <xdr:sp>
      <xdr:nvSpPr>
        <xdr:cNvPr id="2" name="AutoShape 12"/>
        <xdr:cNvSpPr>
          <a:spLocks/>
        </xdr:cNvSpPr>
      </xdr:nvSpPr>
      <xdr:spPr>
        <a:xfrm>
          <a:off x="8277225" y="400050"/>
          <a:ext cx="76200" cy="295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15</xdr:row>
      <xdr:rowOff>0</xdr:rowOff>
    </xdr:from>
    <xdr:to>
      <xdr:col>9</xdr:col>
      <xdr:colOff>390525</xdr:colOff>
      <xdr:row>17</xdr:row>
      <xdr:rowOff>0</xdr:rowOff>
    </xdr:to>
    <xdr:sp>
      <xdr:nvSpPr>
        <xdr:cNvPr id="1" name="AutoShape 12"/>
        <xdr:cNvSpPr>
          <a:spLocks/>
        </xdr:cNvSpPr>
      </xdr:nvSpPr>
      <xdr:spPr>
        <a:xfrm>
          <a:off x="5600700" y="2495550"/>
          <a:ext cx="76200"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447675</xdr:colOff>
      <xdr:row>11</xdr:row>
      <xdr:rowOff>47625</xdr:rowOff>
    </xdr:from>
    <xdr:to>
      <xdr:col>9</xdr:col>
      <xdr:colOff>57150</xdr:colOff>
      <xdr:row>14</xdr:row>
      <xdr:rowOff>0</xdr:rowOff>
    </xdr:to>
    <xdr:sp>
      <xdr:nvSpPr>
        <xdr:cNvPr id="2" name="AutoShape 23"/>
        <xdr:cNvSpPr>
          <a:spLocks/>
        </xdr:cNvSpPr>
      </xdr:nvSpPr>
      <xdr:spPr>
        <a:xfrm>
          <a:off x="5267325" y="1885950"/>
          <a:ext cx="76200"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47625</xdr:colOff>
      <xdr:row>20</xdr:row>
      <xdr:rowOff>0</xdr:rowOff>
    </xdr:from>
    <xdr:to>
      <xdr:col>18</xdr:col>
      <xdr:colOff>1476375</xdr:colOff>
      <xdr:row>85</xdr:row>
      <xdr:rowOff>0</xdr:rowOff>
    </xdr:to>
    <xdr:sp>
      <xdr:nvSpPr>
        <xdr:cNvPr id="3" name="Text Box 4"/>
        <xdr:cNvSpPr txBox="1">
          <a:spLocks noChangeArrowheads="1"/>
        </xdr:cNvSpPr>
      </xdr:nvSpPr>
      <xdr:spPr>
        <a:xfrm>
          <a:off x="6905625" y="3295650"/>
          <a:ext cx="4800600" cy="11134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50" b="1" i="0" u="sng" baseline="0">
              <a:solidFill>
                <a:srgbClr val="000000"/>
              </a:solidFill>
              <a:latin typeface="Times New Roman"/>
              <a:ea typeface="Times New Roman"/>
              <a:cs typeface="Times New Roman"/>
            </a:rPr>
            <a:t>GENERAL NOTES</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The </a:t>
          </a:r>
          <a:r>
            <a:rPr lang="en-US" cap="none" sz="1050" b="1" i="0" u="none" baseline="0">
              <a:solidFill>
                <a:srgbClr val="000000"/>
              </a:solidFill>
              <a:latin typeface="Times New Roman"/>
              <a:ea typeface="Times New Roman"/>
              <a:cs typeface="Times New Roman"/>
            </a:rPr>
            <a:t>"Stone Factor"</a:t>
          </a:r>
          <a:r>
            <a:rPr lang="en-US" cap="none" sz="1050" b="0" i="0" u="none" baseline="0">
              <a:solidFill>
                <a:srgbClr val="000000"/>
              </a:solidFill>
              <a:latin typeface="Times New Roman"/>
              <a:ea typeface="Times New Roman"/>
              <a:cs typeface="Times New Roman"/>
            </a:rPr>
            <a:t> provides the </a:t>
          </a:r>
          <a:r>
            <a:rPr lang="en-US" cap="none" sz="1050" b="1" i="0" u="none" baseline="0">
              <a:solidFill>
                <a:srgbClr val="000000"/>
              </a:solidFill>
              <a:latin typeface="Times New Roman"/>
              <a:ea typeface="Times New Roman"/>
              <a:cs typeface="Times New Roman"/>
            </a:rPr>
            <a:t>"Useable Wt"</a:t>
          </a:r>
          <a:r>
            <a:rPr lang="en-US" cap="none" sz="1050" b="0" i="0" u="none" baseline="0">
              <a:solidFill>
                <a:srgbClr val="000000"/>
              </a:solidFill>
              <a:latin typeface="Times New Roman"/>
              <a:ea typeface="Times New Roman"/>
              <a:cs typeface="Times New Roman"/>
            </a:rPr>
            <a:t> of fruit flesh, this allows for stoned fruits &amp; apples/pears being peeled &amp; cores etc. It is not normally necessary to remove stones prior to making jam, just slice difficult fruit to allow the stones to be freed during boiling. Some fruits such as apricots, can be enhanced by cracking a few of the stones &amp; adding the kernels to the boil.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The </a:t>
          </a:r>
          <a:r>
            <a:rPr lang="en-US" cap="none" sz="1050" b="1" i="0" u="none" baseline="0">
              <a:solidFill>
                <a:srgbClr val="000000"/>
              </a:solidFill>
              <a:latin typeface="Times New Roman"/>
              <a:ea typeface="Times New Roman"/>
              <a:cs typeface="Times New Roman"/>
            </a:rPr>
            <a:t>"Water Factor"</a:t>
          </a:r>
          <a:r>
            <a:rPr lang="en-US" cap="none" sz="1050" b="0" i="0" u="none" baseline="0">
              <a:solidFill>
                <a:srgbClr val="000000"/>
              </a:solidFill>
              <a:latin typeface="Times New Roman"/>
              <a:ea typeface="Times New Roman"/>
              <a:cs typeface="Times New Roman"/>
            </a:rPr>
            <a:t> is the amount of water to be added to the fruit.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The </a:t>
          </a:r>
          <a:r>
            <a:rPr lang="en-US" cap="none" sz="1050" b="1" i="0" u="none" baseline="0">
              <a:solidFill>
                <a:srgbClr val="000000"/>
              </a:solidFill>
              <a:latin typeface="Times New Roman"/>
              <a:ea typeface="Times New Roman"/>
              <a:cs typeface="Times New Roman"/>
            </a:rPr>
            <a:t>"Sugar Factor"</a:t>
          </a:r>
          <a:r>
            <a:rPr lang="en-US" cap="none" sz="1050" b="0" i="0" u="none" baseline="0">
              <a:solidFill>
                <a:srgbClr val="000000"/>
              </a:solidFill>
              <a:latin typeface="Times New Roman"/>
              <a:ea typeface="Times New Roman"/>
              <a:cs typeface="Times New Roman"/>
            </a:rPr>
            <a:t> determines the weight of sugar to be added.
</a:t>
          </a:r>
          <a:r>
            <a:rPr lang="en-US" cap="none" sz="1050" b="0" i="0" u="none" baseline="0">
              <a:solidFill>
                <a:srgbClr val="000000"/>
              </a:solidFill>
              <a:latin typeface="Times New Roman"/>
              <a:ea typeface="Times New Roman"/>
              <a:cs typeface="Times New Roman"/>
            </a:rPr>
            <a:t>
</a:t>
          </a:r>
          <a:r>
            <a:rPr lang="en-US" cap="none" sz="1050" b="1" i="0" u="none" baseline="0">
              <a:solidFill>
                <a:srgbClr val="000000"/>
              </a:solidFill>
              <a:latin typeface="Times New Roman"/>
              <a:ea typeface="Times New Roman"/>
              <a:cs typeface="Times New Roman"/>
            </a:rPr>
            <a:t>Quantities quoted are by no means critical!</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Paradoxically, pectin, the wine-makers enemy, is the jam-makers best friend. Under-ripe fruits have more pectin than ripe hence more sugar can be added, slightly more water may also be required.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High pectin/setting fruits, these can be used singly or combined with lower pectin content fruits include:-
</a:t>
          </a:r>
          <a:r>
            <a:rPr lang="en-US" cap="none" sz="1050" b="0" i="0" u="none" baseline="0">
              <a:solidFill>
                <a:srgbClr val="000000"/>
              </a:solidFill>
              <a:latin typeface="Times New Roman"/>
              <a:ea typeface="Times New Roman"/>
              <a:cs typeface="Times New Roman"/>
            </a:rPr>
            <a:t>Cooking &amp; crab apples, blackcurrants, damsons, gooseberries, lemons, plums and redcurrants.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Medium pectin/setting fruits:-
</a:t>
          </a:r>
          <a:r>
            <a:rPr lang="en-US" cap="none" sz="1050" b="0" i="0" u="none" baseline="0">
              <a:solidFill>
                <a:srgbClr val="000000"/>
              </a:solidFill>
              <a:latin typeface="Times New Roman"/>
              <a:ea typeface="Times New Roman"/>
              <a:cs typeface="Times New Roman"/>
            </a:rPr>
            <a:t>Apricots, blackberries, raspberries, and loganberries.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Low pectin/setting fruits:-
</a:t>
          </a:r>
          <a:r>
            <a:rPr lang="en-US" cap="none" sz="1050" b="0" i="0" u="none" baseline="0">
              <a:solidFill>
                <a:srgbClr val="000000"/>
              </a:solidFill>
              <a:latin typeface="Times New Roman"/>
              <a:ea typeface="Times New Roman"/>
              <a:cs typeface="Times New Roman"/>
            </a:rPr>
            <a:t>Cherries and strawberries.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Water quantities are not critical, if insufficient is initially used you can always add more, any excess will be "reduced" or boiled off.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The  </a:t>
          </a:r>
          <a:r>
            <a:rPr lang="en-US" cap="none" sz="1050" b="1" i="0" u="none" baseline="0">
              <a:solidFill>
                <a:srgbClr val="000000"/>
              </a:solidFill>
              <a:latin typeface="Times New Roman"/>
              <a:ea typeface="Times New Roman"/>
              <a:cs typeface="Times New Roman"/>
            </a:rPr>
            <a:t>"TOTAL ACID"</a:t>
          </a:r>
          <a:r>
            <a:rPr lang="en-US" cap="none" sz="1050" b="0" i="0" u="none" baseline="0">
              <a:solidFill>
                <a:srgbClr val="000000"/>
              </a:solidFill>
              <a:latin typeface="Times New Roman"/>
              <a:ea typeface="Times New Roman"/>
              <a:cs typeface="Times New Roman"/>
            </a:rPr>
            <a:t> &amp; </a:t>
          </a:r>
          <a:r>
            <a:rPr lang="en-US" cap="none" sz="1050" b="1" i="0" u="none" baseline="0">
              <a:solidFill>
                <a:srgbClr val="000000"/>
              </a:solidFill>
              <a:latin typeface="Times New Roman"/>
              <a:ea typeface="Times New Roman"/>
              <a:cs typeface="Times New Roman"/>
            </a:rPr>
            <a:t>"TOTAL PECTIN"</a:t>
          </a:r>
          <a:r>
            <a:rPr lang="en-US" cap="none" sz="1050" b="0" i="0" u="none" baseline="0">
              <a:solidFill>
                <a:srgbClr val="000000"/>
              </a:solidFill>
              <a:latin typeface="Times New Roman"/>
              <a:ea typeface="Times New Roman"/>
              <a:cs typeface="Times New Roman"/>
            </a:rPr>
            <a:t> content i.e. "High" is an indicator of the jam's setting quality.
</a:t>
          </a:r>
          <a:r>
            <a:rPr lang="en-US" cap="none" sz="1050" b="0" i="0" u="none" baseline="0">
              <a:solidFill>
                <a:srgbClr val="000000"/>
              </a:solidFill>
              <a:latin typeface="Times New Roman"/>
              <a:ea typeface="Times New Roman"/>
              <a:cs typeface="Times New Roman"/>
            </a:rPr>
            <a:t>
</a:t>
          </a:r>
          <a:r>
            <a:rPr lang="en-US" cap="none" sz="1050" b="1" i="0" u="none" baseline="0">
              <a:solidFill>
                <a:srgbClr val="000000"/>
              </a:solidFill>
              <a:latin typeface="Times New Roman"/>
              <a:ea typeface="Times New Roman"/>
              <a:cs typeface="Times New Roman"/>
            </a:rPr>
            <a:t>Example - Damson Wine</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Wash the fruit, discarding any bad bits &amp; note the weight, "halve" the fruit &amp; remove any loose stones. For every 500g ripe fruit add about 70ml water in a stainless steel pan (aluminium is not recommended as it can react with the acid &amp; cause harmful compounds) &amp; weigh out about 570g of sugar in a bowl, this may be pre-heated in a low oven (Gas mark 1/4, 110°C). The clean jam jars may be placed in the coolest part of the oven.
</a:t>
          </a:r>
          <a:r>
            <a:rPr lang="en-US" cap="none" sz="1050" b="0" i="0" u="none" baseline="0">
              <a:solidFill>
                <a:srgbClr val="000000"/>
              </a:solidFill>
              <a:latin typeface="Times New Roman"/>
              <a:ea typeface="Times New Roman"/>
              <a:cs typeface="Times New Roman"/>
            </a:rPr>
            <a:t>Simmer gently, stirring from time to time to prevent sticking &amp; burning, until the fruit &amp; skins are nice &amp; tender.
</a:t>
          </a:r>
          <a:r>
            <a:rPr lang="en-US" cap="none" sz="1050" b="0" i="0" u="none" baseline="0">
              <a:solidFill>
                <a:srgbClr val="000000"/>
              </a:solidFill>
              <a:latin typeface="Times New Roman"/>
              <a:ea typeface="Times New Roman"/>
              <a:cs typeface="Times New Roman"/>
            </a:rPr>
            <a:t>Turn the pan heat to a minimum &amp; gradually stir in the sugar, when this is dissolved bring the pan contents to a boil then boil rapidly until the "setting point" is reached, taking care not to burn the jam at the bottom of the pan, this problem can be reduced by making smaller quantities. Stirring is not required at this stage but any stones that rise to the surface can be carefully removed.
</a:t>
          </a:r>
          <a:r>
            <a:rPr lang="en-US" cap="none" sz="1050" b="0" i="0" u="none" baseline="0">
              <a:solidFill>
                <a:srgbClr val="000000"/>
              </a:solidFill>
              <a:latin typeface="Times New Roman"/>
              <a:ea typeface="Times New Roman"/>
              <a:cs typeface="Times New Roman"/>
            </a:rPr>
            <a:t>Allow to cool for 10-15 minutes before pouring into the jars, fill them to at least a centimetre from the top, this helps prevent moulds etc. forming. High sugar jams can be kept for up to a year, low sugar for only a few months. All should be eaten within a few weeks of opening.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The "setting point" occurs at about 105°C (220°F), test every 4 or 5 minutes. If you don't have a jam thermometer, take a sample of the jam with a clean wooden spoon, hold above the pan for about 5 seconds to cool slightly then tip it, allowing the jam to return to the pan. When "set" the jam will "flake" off the spoon rather than drip off. Be careful not to over-boil as the jam will then never set.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An alternative test is to drop a small amount of jam onto a clean plate, just removed from a refrigerator. Leave to cool for half to one minute before "pushing" the jam with a finger. If the jam has a skin that wrinkles, the jam has set, to prevent over-boiling, reduce the pan heat to a minimum during this test, if the jam stays runny and no skin is present, boil for a little longer before re-testing.</a:t>
          </a:r>
        </a:p>
      </xdr:txBody>
    </xdr:sp>
    <xdr:clientData/>
  </xdr:twoCellAnchor>
  <xdr:twoCellAnchor>
    <xdr:from>
      <xdr:col>0</xdr:col>
      <xdr:colOff>28575</xdr:colOff>
      <xdr:row>87</xdr:row>
      <xdr:rowOff>0</xdr:rowOff>
    </xdr:from>
    <xdr:to>
      <xdr:col>18</xdr:col>
      <xdr:colOff>1476375</xdr:colOff>
      <xdr:row>102</xdr:row>
      <xdr:rowOff>9525</xdr:rowOff>
    </xdr:to>
    <xdr:sp fLocksText="0">
      <xdr:nvSpPr>
        <xdr:cNvPr id="4" name="Text Box 19"/>
        <xdr:cNvSpPr txBox="1">
          <a:spLocks noChangeArrowheads="1"/>
        </xdr:cNvSpPr>
      </xdr:nvSpPr>
      <xdr:spPr>
        <a:xfrm>
          <a:off x="28575" y="14820900"/>
          <a:ext cx="11677650" cy="2667000"/>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vid.barrow@live.co.uk" TargetMode="External" /><Relationship Id="rId2" Type="http://schemas.openxmlformats.org/officeDocument/2006/relationships/hyperlink" Target="http://www.yobrew.co.uk/" TargetMode="External" /><Relationship Id="rId3" Type="http://schemas.openxmlformats.org/officeDocument/2006/relationships/hyperlink" Target="http://www.petespintpot.co.uk/" TargetMode="External" /><Relationship Id="rId4" Type="http://schemas.openxmlformats.org/officeDocument/2006/relationships/hyperlink" Target="mailto:jamesbsmith@hotmail.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etespintpot.co.uk/index.html#PIGGY-BACK%20" TargetMode="External" /><Relationship Id="rId2" Type="http://schemas.openxmlformats.org/officeDocument/2006/relationships/hyperlink" Target="http://www.petespintpot.co.uk/kitmod.html" TargetMode="External" /><Relationship Id="rId3" Type="http://schemas.openxmlformats.org/officeDocument/2006/relationships/hyperlink" Target="http://www.petespintpot.co.uk/" TargetMode="External" /><Relationship Id="rId4" Type="http://schemas.openxmlformats.org/officeDocument/2006/relationships/hyperlink" Target="http://www.yobrew.co.uk/" TargetMode="External" /><Relationship Id="rId5" Type="http://schemas.openxmlformats.org/officeDocument/2006/relationships/hyperlink" Target="http://www.yobrew.co.uk/" TargetMode="External" /><Relationship Id="rId6" Type="http://schemas.openxmlformats.org/officeDocument/2006/relationships/hyperlink" Target="http://www.yobrew.co.uk/" TargetMode="External" /><Relationship Id="rId7" Type="http://schemas.openxmlformats.org/officeDocument/2006/relationships/hyperlink" Target="mailto:david.barrow@live.co.uk" TargetMode="External" /><Relationship Id="rId8" Type="http://schemas.openxmlformats.org/officeDocument/2006/relationships/hyperlink" Target="http://www.petespintpot.co.uk/" TargetMode="External" /><Relationship Id="rId9" Type="http://schemas.openxmlformats.org/officeDocument/2006/relationships/hyperlink" Target="http://www.petespintpot.co.uk/" TargetMode="External" /><Relationship Id="rId10" Type="http://schemas.openxmlformats.org/officeDocument/2006/relationships/hyperlink" Target="http://www.petespintpot.co.uk/" TargetMode="External" /><Relationship Id="rId11" Type="http://schemas.openxmlformats.org/officeDocument/2006/relationships/hyperlink" Target="http://www.petespintpot.co.uk/kitmod.html" TargetMode="External" /><Relationship Id="rId12" Type="http://schemas.openxmlformats.org/officeDocument/2006/relationships/hyperlink" Target="http://www.petespintpot.co.uk/health.html" TargetMode="External" /><Relationship Id="rId13" Type="http://schemas.openxmlformats.org/officeDocument/2006/relationships/hyperlink" Target="http://www.petespintpot.co.uk/diabetic.html" TargetMode="External" /><Relationship Id="rId14" Type="http://schemas.openxmlformats.org/officeDocument/2006/relationships/hyperlink" Target="http://www.petespintpot.co.uk/index.html#PIGGY-BACK%20" TargetMode="External" /><Relationship Id="rId15" Type="http://schemas.openxmlformats.org/officeDocument/2006/relationships/hyperlink" Target="http://www.yobrew.co.uk/" TargetMode="External" /><Relationship Id="rId16" Type="http://schemas.openxmlformats.org/officeDocument/2006/relationships/hyperlink" Target="mailto:david.barrow@live.co.uk" TargetMode="External" /><Relationship Id="rId17" Type="http://schemas.openxmlformats.org/officeDocument/2006/relationships/hyperlink" Target="http://www.petespintpot.co.uk/" TargetMode="External" /><Relationship Id="rId18" Type="http://schemas.openxmlformats.org/officeDocument/2006/relationships/hyperlink" Target="http://www.petespintpot.co.uk/" TargetMode="External" /><Relationship Id="rId19" Type="http://schemas.openxmlformats.org/officeDocument/2006/relationships/hyperlink" Target="mailto:david.barrow@live.co.uk" TargetMode="External" /><Relationship Id="rId20" Type="http://schemas.openxmlformats.org/officeDocument/2006/relationships/hyperlink" Target="http://www.petespintpot.co.uk/" TargetMode="External" /><Relationship Id="rId21" Type="http://schemas.openxmlformats.org/officeDocument/2006/relationships/hyperlink" Target="http://www.yobrew.co.uk/" TargetMode="External" /><Relationship Id="rId22" Type="http://schemas.openxmlformats.org/officeDocument/2006/relationships/hyperlink" Target="mailto:david.barrow@live.co.uk" TargetMode="External" /><Relationship Id="rId23" Type="http://schemas.openxmlformats.org/officeDocument/2006/relationships/hyperlink" Target="http://www.yobrew.co.uk/" TargetMode="External" /><Relationship Id="rId24" Type="http://schemas.openxmlformats.org/officeDocument/2006/relationships/hyperlink" Target="http://www.petespintpot.co.uk/" TargetMode="External" /><Relationship Id="rId25" Type="http://schemas.openxmlformats.org/officeDocument/2006/relationships/hyperlink" Target="http://www.petespintpot.co.uk/health.html" TargetMode="External" /><Relationship Id="rId26" Type="http://schemas.openxmlformats.org/officeDocument/2006/relationships/hyperlink" Target="http://www.petespintpot.co.uk/diabetic.html" TargetMode="External" /><Relationship Id="rId27" Type="http://schemas.openxmlformats.org/officeDocument/2006/relationships/hyperlink" Target="http://www.petespintpot.co.uk/index.html#PIGGY-BACK%20" TargetMode="External" /><Relationship Id="rId28" Type="http://schemas.openxmlformats.org/officeDocument/2006/relationships/hyperlink" Target="http://www.yobrew.co.uk/" TargetMode="External" /><Relationship Id="rId29" Type="http://schemas.openxmlformats.org/officeDocument/2006/relationships/hyperlink" Target="mailto:david.barrow@live.co.uk" TargetMode="External" /><Relationship Id="rId30" Type="http://schemas.openxmlformats.org/officeDocument/2006/relationships/hyperlink" Target="http://www.petespintpot.co.uk/" TargetMode="External" /><Relationship Id="rId31" Type="http://schemas.openxmlformats.org/officeDocument/2006/relationships/hyperlink" Target="http://www.petespintpot.co.uk/" TargetMode="External" /><Relationship Id="rId32" Type="http://schemas.openxmlformats.org/officeDocument/2006/relationships/hyperlink" Target="mailto:david.barrow@live.co.uk" TargetMode="External" /><Relationship Id="rId33" Type="http://schemas.openxmlformats.org/officeDocument/2006/relationships/hyperlink" Target="mailto:david.barrow@live.co.uk" TargetMode="External" /><Relationship Id="rId34" Type="http://schemas.openxmlformats.org/officeDocument/2006/relationships/hyperlink" Target="http://www.yobrew.co.uk/" TargetMode="External" /><Relationship Id="rId35" Type="http://schemas.openxmlformats.org/officeDocument/2006/relationships/hyperlink" Target="http://www.petespintpot.co.uk/" TargetMode="External" /><Relationship Id="rId36" Type="http://schemas.openxmlformats.org/officeDocument/2006/relationships/hyperlink" Target="http://www.petespintpot.co.uk/" TargetMode="External" /><Relationship Id="rId37" Type="http://schemas.openxmlformats.org/officeDocument/2006/relationships/hyperlink" Target="http://www.petespintpot.co.uk/" TargetMode="External" /><Relationship Id="rId38" Type="http://schemas.openxmlformats.org/officeDocument/2006/relationships/hyperlink" Target="mailto:david.barrow@live.co.uk" TargetMode="External" /><Relationship Id="rId39" Type="http://schemas.openxmlformats.org/officeDocument/2006/relationships/hyperlink" Target="http://www.petespintpot.co.uk/" TargetMode="External" /><Relationship Id="rId40" Type="http://schemas.openxmlformats.org/officeDocument/2006/relationships/hyperlink" Target="mailto:david.barrow@live.co.uk" TargetMode="External" /><Relationship Id="rId41" Type="http://schemas.openxmlformats.org/officeDocument/2006/relationships/hyperlink" Target="http://www.petespintpot.co.uk/" TargetMode="External" /><Relationship Id="rId42" Type="http://schemas.openxmlformats.org/officeDocument/2006/relationships/hyperlink" Target="mailto:david.barrow@live.co.uk" TargetMode="External" /><Relationship Id="rId43" Type="http://schemas.openxmlformats.org/officeDocument/2006/relationships/hyperlink" Target="http://www.petespintpot.co.uk/" TargetMode="External" /><Relationship Id="rId44" Type="http://schemas.openxmlformats.org/officeDocument/2006/relationships/hyperlink" Target="http://www.petespintpot.co.uk/" TargetMode="External" /><Relationship Id="rId45" Type="http://schemas.openxmlformats.org/officeDocument/2006/relationships/hyperlink" Target="http://www.petespintpot.co.uk/" TargetMode="External" /><Relationship Id="rId46" Type="http://schemas.openxmlformats.org/officeDocument/2006/relationships/hyperlink" Target="http://www.petespintpot.co.uk/" TargetMode="External" /><Relationship Id="rId47" Type="http://schemas.openxmlformats.org/officeDocument/2006/relationships/hyperlink" Target="http://www.yobrew.co.uk/" TargetMode="External" /><Relationship Id="rId48" Type="http://schemas.openxmlformats.org/officeDocument/2006/relationships/hyperlink" Target="http://www.yobrew.co.uk/" TargetMode="External" /><Relationship Id="rId49" Type="http://schemas.openxmlformats.org/officeDocument/2006/relationships/hyperlink" Target="http://www.yobrew.co.uk/" TargetMode="External" /><Relationship Id="rId50" Type="http://schemas.openxmlformats.org/officeDocument/2006/relationships/hyperlink" Target="http://www.petespintpot.co.uk/" TargetMode="External" /><Relationship Id="rId51" Type="http://schemas.openxmlformats.org/officeDocument/2006/relationships/hyperlink" Target="http://www.yobrew.co.uk/" TargetMode="External" /><Relationship Id="rId52" Type="http://schemas.openxmlformats.org/officeDocument/2006/relationships/hyperlink" Target="mailto:david.barrow@live.co.uk" TargetMode="External" /><Relationship Id="rId53" Type="http://schemas.openxmlformats.org/officeDocument/2006/relationships/hyperlink" Target="http://www.petespintpot.co.uk/" TargetMode="External" /><Relationship Id="rId54" Type="http://schemas.openxmlformats.org/officeDocument/2006/relationships/hyperlink" Target="http://www.yobrew.co.uk/" TargetMode="External" /><Relationship Id="rId55" Type="http://schemas.openxmlformats.org/officeDocument/2006/relationships/hyperlink" Target="http://www.petespintpot.co.uk/" TargetMode="External" /><Relationship Id="rId56" Type="http://schemas.openxmlformats.org/officeDocument/2006/relationships/hyperlink" Target="http://www.petespintpot.co.uk/health.html" TargetMode="External" /><Relationship Id="rId57" Type="http://schemas.openxmlformats.org/officeDocument/2006/relationships/hyperlink" Target="http://www.petespintpot.co.uk/diabetic.html" TargetMode="External" /><Relationship Id="rId58" Type="http://schemas.openxmlformats.org/officeDocument/2006/relationships/hyperlink" Target="http://www.petespintpot.co.uk/diabetic.html" TargetMode="External" /><Relationship Id="rId59" Type="http://schemas.openxmlformats.org/officeDocument/2006/relationships/hyperlink" Target="http://www.petespintpot.co.uk/" TargetMode="External" /><Relationship Id="rId60" Type="http://schemas.openxmlformats.org/officeDocument/2006/relationships/hyperlink" Target="http://www.petespintpot.co.uk/kitmod.html" TargetMode="External" /><Relationship Id="rId61" Type="http://schemas.openxmlformats.org/officeDocument/2006/relationships/hyperlink" Target="http://www.signaturewinesofohio.com/" TargetMode="External" /><Relationship Id="rId62" Type="http://schemas.openxmlformats.org/officeDocument/2006/relationships/hyperlink" Target="http://www.petespintpot.co.uk/" TargetMode="External" /><Relationship Id="rId63" Type="http://schemas.openxmlformats.org/officeDocument/2006/relationships/hyperlink" Target="http://www.petespintpot.co.uk/" TargetMode="External" /><Relationship Id="rId64" Type="http://schemas.openxmlformats.org/officeDocument/2006/relationships/hyperlink" Target="mailto:david.barrow@live.co.uk" TargetMode="External" /><Relationship Id="rId65" Type="http://schemas.openxmlformats.org/officeDocument/2006/relationships/hyperlink" Target="http://www.petespintpot.co.uk/" TargetMode="External" /><Relationship Id="rId66" Type="http://schemas.openxmlformats.org/officeDocument/2006/relationships/hyperlink" Target="mailto:david.barrow@live.co.uk" TargetMode="External" /><Relationship Id="rId67" Type="http://schemas.openxmlformats.org/officeDocument/2006/relationships/hyperlink" Target="mailto:david.barrow@live.co.uk" TargetMode="External" /><Relationship Id="rId68" Type="http://schemas.openxmlformats.org/officeDocument/2006/relationships/hyperlink" Target="http://www.colchesterhomebrew.co.uk/" TargetMode="External" /><Relationship Id="rId69" Type="http://schemas.openxmlformats.org/officeDocument/2006/relationships/hyperlink" Target="http://www.yobrew.co.uk/" TargetMode="External" /><Relationship Id="rId70" Type="http://schemas.openxmlformats.org/officeDocument/2006/relationships/hyperlink" Target="http://www.yobrew.co.uk/" TargetMode="External" /><Relationship Id="rId71" Type="http://schemas.openxmlformats.org/officeDocument/2006/relationships/hyperlink" Target="http://www.yobrew.co.uk/" TargetMode="External" /><Relationship Id="rId72" Type="http://schemas.openxmlformats.org/officeDocument/2006/relationships/hyperlink" Target="http://www.petespintpot.co.uk/" TargetMode="External" /><Relationship Id="rId73" Type="http://schemas.openxmlformats.org/officeDocument/2006/relationships/hyperlink" Target="http://www.petespintpot.co.uk/diabetic.html" TargetMode="External" /><Relationship Id="rId74" Type="http://schemas.openxmlformats.org/officeDocument/2006/relationships/hyperlink" Target="http://www.petespintpot.co.uk/health.html" TargetMode="External" /><Relationship Id="rId75" Type="http://schemas.openxmlformats.org/officeDocument/2006/relationships/hyperlink" Target="http://www.petespintpot.co.uk/health.html" TargetMode="External" /><Relationship Id="rId76" Type="http://schemas.openxmlformats.org/officeDocument/2006/relationships/hyperlink" Target="http://www.petespintpot.co.uk/diabetic.html" TargetMode="External" /><Relationship Id="rId77" Type="http://schemas.openxmlformats.org/officeDocument/2006/relationships/hyperlink" Target="http://www.petespintpot.co.uk/diabetic.html" TargetMode="External" /><Relationship Id="rId78" Type="http://schemas.openxmlformats.org/officeDocument/2006/relationships/hyperlink" Target="http://www.petespintpot.co.uk/diabetic.html" TargetMode="External" /><Relationship Id="rId79" Type="http://schemas.openxmlformats.org/officeDocument/2006/relationships/hyperlink" Target="http://www.petespintpot.co.uk/" TargetMode="External" /><Relationship Id="rId80" Type="http://schemas.openxmlformats.org/officeDocument/2006/relationships/hyperlink" Target="http://www.petespintpot.co.uk/" TargetMode="External" /><Relationship Id="rId81" Type="http://schemas.openxmlformats.org/officeDocument/2006/relationships/hyperlink" Target="http://www.petespintpot.co.uk/" TargetMode="External" /><Relationship Id="rId82" Type="http://schemas.openxmlformats.org/officeDocument/2006/relationships/hyperlink" Target="http://www.petespintpot.co.uk/" TargetMode="External" /><Relationship Id="rId83" Type="http://schemas.openxmlformats.org/officeDocument/2006/relationships/hyperlink" Target="http://www.petespintpot.co.uk/" TargetMode="External" /><Relationship Id="rId84" Type="http://schemas.openxmlformats.org/officeDocument/2006/relationships/hyperlink" Target="mailto:david.barrow@live.co.uk" TargetMode="External" /><Relationship Id="rId85" Type="http://schemas.openxmlformats.org/officeDocument/2006/relationships/hyperlink" Target="http://www.petespintpot.co.uk/" TargetMode="External" /><Relationship Id="rId86" Type="http://schemas.openxmlformats.org/officeDocument/2006/relationships/hyperlink" Target="http://www.petespintpot.co.uk/" TargetMode="External" /><Relationship Id="rId87" Type="http://schemas.openxmlformats.org/officeDocument/2006/relationships/hyperlink" Target="mailto:david.barrow@live.co.uk" TargetMode="External" /><Relationship Id="rId88" Type="http://schemas.openxmlformats.org/officeDocument/2006/relationships/hyperlink" Target="http://www.petespintpot.co.uk/" TargetMode="External" /><Relationship Id="rId89" Type="http://schemas.openxmlformats.org/officeDocument/2006/relationships/hyperlink" Target="mailto:david.barrow@live.co.uk" TargetMode="External" /><Relationship Id="rId90" Type="http://schemas.openxmlformats.org/officeDocument/2006/relationships/hyperlink" Target="mailto:david.barrow@live.co.uk" TargetMode="External" /><Relationship Id="rId91" Type="http://schemas.openxmlformats.org/officeDocument/2006/relationships/hyperlink" Target="http://www.yobrew.co.uk/" TargetMode="External" /><Relationship Id="rId92" Type="http://schemas.openxmlformats.org/officeDocument/2006/relationships/hyperlink" Target="http://www.petespintpot.co.uk/diabetic.html" TargetMode="External" /><Relationship Id="rId93" Type="http://schemas.openxmlformats.org/officeDocument/2006/relationships/hyperlink" Target="mailto:david.barrow@live.co.uk" TargetMode="External" /><Relationship Id="rId94" Type="http://schemas.openxmlformats.org/officeDocument/2006/relationships/hyperlink" Target="http://www.petespintpot.co.uk/diabetic.html" TargetMode="External" /><Relationship Id="rId95" Type="http://schemas.openxmlformats.org/officeDocument/2006/relationships/hyperlink" Target="http://www.petespintpot.co.uk/health.html" TargetMode="External" /><Relationship Id="rId96" Type="http://schemas.openxmlformats.org/officeDocument/2006/relationships/hyperlink" Target="http://www.petespintpot.co.uk/health.html" TargetMode="External" /><Relationship Id="rId97" Type="http://schemas.openxmlformats.org/officeDocument/2006/relationships/hyperlink" Target="http://www.petespintpot.co.uk/kitmod.html" TargetMode="External" /><Relationship Id="rId98" Type="http://schemas.openxmlformats.org/officeDocument/2006/relationships/hyperlink" Target="mailto:david.barrow@live.co.uk" TargetMode="External" /><Relationship Id="rId99" Type="http://schemas.openxmlformats.org/officeDocument/2006/relationships/hyperlink" Target="http://www.petespintpot.co.uk/" TargetMode="External" /><Relationship Id="rId100" Type="http://schemas.openxmlformats.org/officeDocument/2006/relationships/hyperlink" Target="mailto:david.barrow@live.co.uk" TargetMode="External" /><Relationship Id="rId101" Type="http://schemas.openxmlformats.org/officeDocument/2006/relationships/hyperlink" Target="mailto:david.barrow@live.co.uk" TargetMode="External" /><Relationship Id="rId102" Type="http://schemas.openxmlformats.org/officeDocument/2006/relationships/hyperlink" Target="http://www.petespintpot.co.uk/" TargetMode="External" /><Relationship Id="rId103" Type="http://schemas.openxmlformats.org/officeDocument/2006/relationships/hyperlink" Target="http://www.petespintpot.co.uk/" TargetMode="External" /><Relationship Id="rId104" Type="http://schemas.openxmlformats.org/officeDocument/2006/relationships/hyperlink" Target="http://www.colchesterhomebrew.co.uk/" TargetMode="External" /><Relationship Id="rId105" Type="http://schemas.openxmlformats.org/officeDocument/2006/relationships/hyperlink" Target="http://www.yobrew.co.uk/" TargetMode="External" /><Relationship Id="rId106" Type="http://schemas.openxmlformats.org/officeDocument/2006/relationships/hyperlink" Target="http://www.petespintpot.co.uk/" TargetMode="External" /><Relationship Id="rId107" Type="http://schemas.openxmlformats.org/officeDocument/2006/relationships/hyperlink" Target="http://www.yobrew.co.uk/" TargetMode="External" /><Relationship Id="rId108" Type="http://schemas.openxmlformats.org/officeDocument/2006/relationships/hyperlink" Target="http://www.yobrew.co.uk/" TargetMode="External" /><Relationship Id="rId109" Type="http://schemas.openxmlformats.org/officeDocument/2006/relationships/hyperlink" Target="http://www.yobrew.co.uk/" TargetMode="External" /><Relationship Id="rId110" Type="http://schemas.openxmlformats.org/officeDocument/2006/relationships/hyperlink" Target="http://www.yobrew.co.uk/" TargetMode="External" /><Relationship Id="rId111" Type="http://schemas.openxmlformats.org/officeDocument/2006/relationships/hyperlink" Target="http://www.yobrew.co.uk/" TargetMode="External" /><Relationship Id="rId112" Type="http://schemas.openxmlformats.org/officeDocument/2006/relationships/hyperlink" Target="http://www.yobrew.co.uk/" TargetMode="External" /><Relationship Id="rId113" Type="http://schemas.openxmlformats.org/officeDocument/2006/relationships/hyperlink" Target="http://www.yobrew.co.uk/" TargetMode="External" /><Relationship Id="rId114" Type="http://schemas.openxmlformats.org/officeDocument/2006/relationships/hyperlink" Target="http://www.yobrew.co.uk/" TargetMode="External" /><Relationship Id="rId115" Type="http://schemas.openxmlformats.org/officeDocument/2006/relationships/hyperlink" Target="http://www.yobrew.co.uk/" TargetMode="External" /><Relationship Id="rId116" Type="http://schemas.openxmlformats.org/officeDocument/2006/relationships/hyperlink" Target="http://www.yobrew.co.uk/" TargetMode="External" /><Relationship Id="rId117" Type="http://schemas.openxmlformats.org/officeDocument/2006/relationships/hyperlink" Target="http://www.yobrew.co.uk/" TargetMode="External" /><Relationship Id="rId118" Type="http://schemas.openxmlformats.org/officeDocument/2006/relationships/hyperlink" Target="http://www.yobrew.co.uk/" TargetMode="External" /><Relationship Id="rId119" Type="http://schemas.openxmlformats.org/officeDocument/2006/relationships/hyperlink" Target="http://www.yobrew.co.uk/" TargetMode="External" /><Relationship Id="rId120" Type="http://schemas.openxmlformats.org/officeDocument/2006/relationships/hyperlink" Target="http://www.yobrew.co.uk/" TargetMode="External" /><Relationship Id="rId121" Type="http://schemas.openxmlformats.org/officeDocument/2006/relationships/hyperlink" Target="http://www.yobrew.co.uk/" TargetMode="External" /><Relationship Id="rId122" Type="http://schemas.openxmlformats.org/officeDocument/2006/relationships/hyperlink" Target="http://www.yobrew.co.uk/" TargetMode="External" /><Relationship Id="rId123" Type="http://schemas.openxmlformats.org/officeDocument/2006/relationships/hyperlink" Target="http://www.yobrew.co.uk/" TargetMode="External" /><Relationship Id="rId124" Type="http://schemas.openxmlformats.org/officeDocument/2006/relationships/hyperlink" Target="http://www.yobrew.co.uk/" TargetMode="External" /><Relationship Id="rId125" Type="http://schemas.openxmlformats.org/officeDocument/2006/relationships/hyperlink" Target="http://www.yobrew.co.uk/" TargetMode="External" /><Relationship Id="rId126" Type="http://schemas.openxmlformats.org/officeDocument/2006/relationships/hyperlink" Target="http://www.yobrew.co.uk/" TargetMode="External" /><Relationship Id="rId127" Type="http://schemas.openxmlformats.org/officeDocument/2006/relationships/hyperlink" Target="http://www.yobrew.co.uk/" TargetMode="External" /><Relationship Id="rId128" Type="http://schemas.openxmlformats.org/officeDocument/2006/relationships/hyperlink" Target="http://www.yobrew.co.uk/" TargetMode="External" /><Relationship Id="rId129" Type="http://schemas.openxmlformats.org/officeDocument/2006/relationships/hyperlink" Target="http://www.yobrew.co.uk/" TargetMode="External" /><Relationship Id="rId130" Type="http://schemas.openxmlformats.org/officeDocument/2006/relationships/hyperlink" Target="http://www.yobrew.co.uk/" TargetMode="External" /><Relationship Id="rId131" Type="http://schemas.openxmlformats.org/officeDocument/2006/relationships/hyperlink" Target="http://www.yobrew.co.uk/" TargetMode="External" /><Relationship Id="rId132" Type="http://schemas.openxmlformats.org/officeDocument/2006/relationships/hyperlink" Target="http://www.yobrew.co.uk/" TargetMode="External" /><Relationship Id="rId133" Type="http://schemas.openxmlformats.org/officeDocument/2006/relationships/hyperlink" Target="http://www.yobrew.co.uk/" TargetMode="External" /><Relationship Id="rId134" Type="http://schemas.openxmlformats.org/officeDocument/2006/relationships/drawing" Target="../drawings/drawing2.xml" /><Relationship Id="rId1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etespintpot.co.uk/" TargetMode="External" /><Relationship Id="rId2" Type="http://schemas.openxmlformats.org/officeDocument/2006/relationships/hyperlink" Target="http://www.petespintpot.co.uk/" TargetMode="External" /><Relationship Id="rId3" Type="http://schemas.openxmlformats.org/officeDocument/2006/relationships/hyperlink" Target="http://www.colchesterhomebrew.co.uk/" TargetMode="External" /><Relationship Id="rId4" Type="http://schemas.openxmlformats.org/officeDocument/2006/relationships/hyperlink" Target="mailto:david.barrow@live.co.uk" TargetMode="External" /><Relationship Id="rId5" Type="http://schemas.openxmlformats.org/officeDocument/2006/relationships/hyperlink" Target="http://www.yobrew.co.uk/" TargetMode="External" /><Relationship Id="rId6" Type="http://schemas.openxmlformats.org/officeDocument/2006/relationships/hyperlink" Target="http://www.petespintpot.co.uk/" TargetMode="External" /><Relationship Id="rId7" Type="http://schemas.openxmlformats.org/officeDocument/2006/relationships/hyperlink" Target="http://www.petespintpot.co.uk/" TargetMode="External" /><Relationship Id="rId8" Type="http://schemas.openxmlformats.org/officeDocument/2006/relationships/hyperlink" Target="http://www.petespintpot.co.uk/" TargetMode="External" /><Relationship Id="rId9" Type="http://schemas.openxmlformats.org/officeDocument/2006/relationships/hyperlink" Target="http://www.colchesterhomebrew.co.uk/" TargetMode="External" /><Relationship Id="rId10" Type="http://schemas.openxmlformats.org/officeDocument/2006/relationships/hyperlink" Target="http://www.yobrew.co.uk/" TargetMode="External" /><Relationship Id="rId11" Type="http://schemas.openxmlformats.org/officeDocument/2006/relationships/drawing" Target="../drawings/drawing3.xml" /><Relationship Id="rId1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yobrew.co.uk/" TargetMode="External" /><Relationship Id="rId2" Type="http://schemas.openxmlformats.org/officeDocument/2006/relationships/hyperlink" Target="http://www.petespintpot.co.uk/" TargetMode="External" /><Relationship Id="rId3" Type="http://schemas.openxmlformats.org/officeDocument/2006/relationships/hyperlink" Target="mailto:david.barrow@live.co.uk" TargetMode="External" /><Relationship Id="rId4" Type="http://schemas.openxmlformats.org/officeDocument/2006/relationships/hyperlink" Target="http://www.colchesterhomebrew.co.uk/" TargetMode="External" /><Relationship Id="rId5" Type="http://schemas.openxmlformats.org/officeDocument/2006/relationships/hyperlink" Target="http://www.petespintpot.co.uk/" TargetMode="External" /><Relationship Id="rId6" Type="http://schemas.openxmlformats.org/officeDocument/2006/relationships/hyperlink" Target="http://www.petespintpot.co.uk/" TargetMode="External" /><Relationship Id="rId7" Type="http://schemas.openxmlformats.org/officeDocument/2006/relationships/hyperlink" Target="http://www.yobrew.co.uk/" TargetMode="External" /><Relationship Id="rId8" Type="http://schemas.openxmlformats.org/officeDocument/2006/relationships/hyperlink" Target="http://www.petespintpot.co.uk/" TargetMode="External" /><Relationship Id="rId9" Type="http://schemas.openxmlformats.org/officeDocument/2006/relationships/hyperlink" Target="mailto:david.barrow@live.co.uk" TargetMode="External" /><Relationship Id="rId10" Type="http://schemas.openxmlformats.org/officeDocument/2006/relationships/hyperlink" Target="http://www.colchesterhomebrew.co.uk/" TargetMode="External" /><Relationship Id="rId11" Type="http://schemas.openxmlformats.org/officeDocument/2006/relationships/hyperlink" Target="http://www.petespintpot.co.uk/" TargetMode="External" /><Relationship Id="rId12" Type="http://schemas.openxmlformats.org/officeDocument/2006/relationships/hyperlink" Target="http://www.petespintpot.co.uk/" TargetMode="External" /><Relationship Id="rId13" Type="http://schemas.openxmlformats.org/officeDocument/2006/relationships/drawing" Target="../drawings/drawing4.xml" /><Relationship Id="rId1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etespintpot.co.uk/" TargetMode="External" /><Relationship Id="rId2" Type="http://schemas.openxmlformats.org/officeDocument/2006/relationships/hyperlink" Target="http://www.colchesterhomebrew.co.uk/" TargetMode="External" /><Relationship Id="rId3" Type="http://schemas.openxmlformats.org/officeDocument/2006/relationships/hyperlink" Target="http://www.yobrew.co.uk/" TargetMode="External" /><Relationship Id="rId4" Type="http://schemas.openxmlformats.org/officeDocument/2006/relationships/hyperlink" Target="http://www.petespintpot.co.uk/" TargetMode="External" /><Relationship Id="rId5"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jcp.org/stylecenter.php"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yobrew.co.uk/" TargetMode="External" /><Relationship Id="rId2" Type="http://schemas.openxmlformats.org/officeDocument/2006/relationships/hyperlink" Target="http://www.thewinemakersgoodbrewbook.com/" TargetMode="External" /><Relationship Id="rId3" Type="http://schemas.openxmlformats.org/officeDocument/2006/relationships/hyperlink" Target="http://www.petespintpot.co.uk/index.html#PIGGY-BACK%20" TargetMode="External" /><Relationship Id="rId4" Type="http://schemas.openxmlformats.org/officeDocument/2006/relationships/hyperlink" Target="http://www.petespintpot.co.uk/" TargetMode="External" /><Relationship Id="rId5" Type="http://schemas.openxmlformats.org/officeDocument/2006/relationships/hyperlink" Target="http://www.petespintpot.co.uk/diabetic.html" TargetMode="External" /><Relationship Id="rId6" Type="http://schemas.openxmlformats.org/officeDocument/2006/relationships/hyperlink" Target="http://www.petespintpot.co.uk/index.html#PIGGY-BACK%20" TargetMode="External" /><Relationship Id="rId7" Type="http://schemas.openxmlformats.org/officeDocument/2006/relationships/hyperlink" Target="http://www.yobrew.co.uk/" TargetMode="External" /><Relationship Id="rId8" Type="http://schemas.openxmlformats.org/officeDocument/2006/relationships/hyperlink" Target="http://www.yobrew.co.uk/" TargetMode="External" /><Relationship Id="rId9" Type="http://schemas.openxmlformats.org/officeDocument/2006/relationships/hyperlink" Target="mailto:david.barrow@live.co.uk" TargetMode="External" /><Relationship Id="rId10" Type="http://schemas.openxmlformats.org/officeDocument/2006/relationships/hyperlink" Target="http://www.petespintpot.co.uk/index.html#PIGGY-BACK%20" TargetMode="External" /><Relationship Id="rId11" Type="http://schemas.openxmlformats.org/officeDocument/2006/relationships/hyperlink" Target="http://www.petespintpot.co.uk/index.html#PIGGY-BACK%20" TargetMode="External" /><Relationship Id="rId12" Type="http://schemas.openxmlformats.org/officeDocument/2006/relationships/hyperlink" Target="http://www.petespintpot.co.uk/" TargetMode="External" /><Relationship Id="rId13" Type="http://schemas.openxmlformats.org/officeDocument/2006/relationships/hyperlink" Target="http://www.petespintpot.co.uk/" TargetMode="External" /><Relationship Id="rId14" Type="http://schemas.openxmlformats.org/officeDocument/2006/relationships/hyperlink" Target="http://www.petespintpot.co.uk/" TargetMode="External" /><Relationship Id="rId15" Type="http://schemas.openxmlformats.org/officeDocument/2006/relationships/hyperlink" Target="http://www.petespintpot.co.uk/index.html#PIGGY-BACK%20" TargetMode="External" /><Relationship Id="rId16" Type="http://schemas.openxmlformats.org/officeDocument/2006/relationships/hyperlink" Target="http://www.petespintpot.co.uk/diabetic.html" TargetMode="External" /><Relationship Id="rId17" Type="http://schemas.openxmlformats.org/officeDocument/2006/relationships/hyperlink" Target="http://www.petespintpot.co.uk/index.html#PIGGY-BACK%20" TargetMode="External" /><Relationship Id="rId18" Type="http://schemas.openxmlformats.org/officeDocument/2006/relationships/hyperlink" Target="http://www.petespintpot.co.uk/" TargetMode="External" /><Relationship Id="rId19" Type="http://schemas.openxmlformats.org/officeDocument/2006/relationships/hyperlink" Target="mailto:david.barrow@live.co.uk" TargetMode="External" /><Relationship Id="rId20" Type="http://schemas.openxmlformats.org/officeDocument/2006/relationships/hyperlink" Target="http://www.petespintpot.co.uk/" TargetMode="External" /><Relationship Id="rId21" Type="http://schemas.openxmlformats.org/officeDocument/2006/relationships/hyperlink" Target="http://www.petespintpot.co.uk/" TargetMode="External" /><Relationship Id="rId22" Type="http://schemas.openxmlformats.org/officeDocument/2006/relationships/hyperlink" Target="http://www.petespintpot.co.uk/" TargetMode="External" /><Relationship Id="rId23" Type="http://schemas.openxmlformats.org/officeDocument/2006/relationships/hyperlink" Target="http://www.petespintpot.co.uk/index.html#PIGGY-BACK%20" TargetMode="External" /><Relationship Id="rId24" Type="http://schemas.openxmlformats.org/officeDocument/2006/relationships/hyperlink" Target="http://www.petespintpot.co.uk/diabetic.html" TargetMode="External" /><Relationship Id="rId25" Type="http://schemas.openxmlformats.org/officeDocument/2006/relationships/hyperlink" Target="http://www.petespintpot.co.uk/index.html#PIGGY-BACK%20" TargetMode="External" /><Relationship Id="rId26" Type="http://schemas.openxmlformats.org/officeDocument/2006/relationships/hyperlink" Target="http://www.yobrew.co.uk/" TargetMode="External" /><Relationship Id="rId27" Type="http://schemas.openxmlformats.org/officeDocument/2006/relationships/hyperlink" Target="mailto:david.barrow@live.co.uk" TargetMode="External" /><Relationship Id="rId28" Type="http://schemas.openxmlformats.org/officeDocument/2006/relationships/hyperlink" Target="http://www.petespintpot.co.uk/" TargetMode="External" /><Relationship Id="rId29" Type="http://schemas.openxmlformats.org/officeDocument/2006/relationships/hyperlink" Target="http://www.petespintpot.co.uk/index.html#PIGGY-BACK%20" TargetMode="External" /><Relationship Id="rId30" Type="http://schemas.openxmlformats.org/officeDocument/2006/relationships/hyperlink" Target="http://www.petespintpot.co.uk/index.html#PIGGY-BACK%20" TargetMode="External" /><Relationship Id="rId31" Type="http://schemas.openxmlformats.org/officeDocument/2006/relationships/hyperlink" Target="http://www.yobrew.co.uk/" TargetMode="External" /><Relationship Id="rId32" Type="http://schemas.openxmlformats.org/officeDocument/2006/relationships/hyperlink" Target="mailto:david.barrow@live.co.uk" TargetMode="External" /><Relationship Id="rId33" Type="http://schemas.openxmlformats.org/officeDocument/2006/relationships/hyperlink" Target="http://www.petespintpot.co.uk/" TargetMode="External" /><Relationship Id="rId34" Type="http://schemas.openxmlformats.org/officeDocument/2006/relationships/hyperlink" Target="http://www.petespintpot.co.uk/" TargetMode="External" /><Relationship Id="rId35" Type="http://schemas.openxmlformats.org/officeDocument/2006/relationships/hyperlink" Target="http://www.petespintpot.co.uk/" TargetMode="External" /><Relationship Id="rId36" Type="http://schemas.openxmlformats.org/officeDocument/2006/relationships/hyperlink" Target="mailto:jamesbsmith@hotmail.com" TargetMode="External" /><Relationship Id="rId37" Type="http://schemas.openxmlformats.org/officeDocument/2006/relationships/hyperlink" Target="mailto:david.barrow@live.co.uk" TargetMode="External" /><Relationship Id="rId38" Type="http://schemas.openxmlformats.org/officeDocument/2006/relationships/hyperlink" Target="http://www.petespintpot.co.uk/" TargetMode="External" /><Relationship Id="rId39" Type="http://schemas.openxmlformats.org/officeDocument/2006/relationships/drawing" Target="../drawings/drawing7.xml" /><Relationship Id="rId4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etespintpot.co.uk/" TargetMode="External" /><Relationship Id="rId2" Type="http://schemas.openxmlformats.org/officeDocument/2006/relationships/hyperlink" Target="http://www.yobrew.co.uk/" TargetMode="External" /><Relationship Id="rId3" Type="http://schemas.openxmlformats.org/officeDocument/2006/relationships/hyperlink" Target="http://www.yobrew.co.uk/" TargetMode="Externa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26"/>
    <pageSetUpPr fitToPage="1"/>
  </sheetPr>
  <dimension ref="A1:E66"/>
  <sheetViews>
    <sheetView zoomScale="107" zoomScaleNormal="107" zoomScaleSheetLayoutView="100" zoomScalePageLayoutView="0" workbookViewId="0" topLeftCell="A1">
      <selection activeCell="G10" sqref="G10"/>
    </sheetView>
  </sheetViews>
  <sheetFormatPr defaultColWidth="9.140625" defaultRowHeight="15"/>
  <cols>
    <col min="1" max="1" width="8.57421875" style="0" customWidth="1"/>
    <col min="2" max="2" width="32.7109375" style="0" customWidth="1"/>
    <col min="3" max="3" width="8.7109375" style="0" customWidth="1"/>
    <col min="4" max="4" width="44.421875" style="0" customWidth="1"/>
    <col min="5" max="5" width="4.28125" style="0" customWidth="1"/>
  </cols>
  <sheetData>
    <row r="1" spans="1:5" ht="30" customHeight="1">
      <c r="A1" s="2399" t="s">
        <v>1170</v>
      </c>
      <c r="B1" s="2399"/>
      <c r="C1" s="2399"/>
      <c r="D1" s="2399"/>
      <c r="E1" s="1031"/>
    </row>
    <row r="2" spans="1:5" ht="19.5" customHeight="1">
      <c r="A2" s="1268" t="s">
        <v>513</v>
      </c>
      <c r="B2" s="1222"/>
      <c r="C2" s="1223"/>
      <c r="D2" s="1544" t="s">
        <v>731</v>
      </c>
      <c r="E2" s="1031"/>
    </row>
    <row r="3" spans="1:5" ht="15" customHeight="1">
      <c r="A3" s="1268"/>
      <c r="B3" s="1222"/>
      <c r="C3" s="1223"/>
      <c r="D3" s="1224"/>
      <c r="E3" s="1031"/>
    </row>
    <row r="4" spans="1:5" ht="15" customHeight="1">
      <c r="A4" s="1268"/>
      <c r="B4" s="1222"/>
      <c r="C4" s="1223"/>
      <c r="D4" s="1224"/>
      <c r="E4" s="1031"/>
    </row>
    <row r="5" spans="1:5" ht="15" customHeight="1">
      <c r="A5" s="1268"/>
      <c r="B5" s="1222"/>
      <c r="C5" s="1223"/>
      <c r="D5" s="1224"/>
      <c r="E5" s="1031"/>
    </row>
    <row r="6" spans="1:5" ht="15" customHeight="1">
      <c r="A6" s="1268"/>
      <c r="B6" s="1222"/>
      <c r="C6" s="1223"/>
      <c r="D6" s="1224"/>
      <c r="E6" s="1031"/>
    </row>
    <row r="7" spans="1:5" ht="15" customHeight="1">
      <c r="A7" s="1268"/>
      <c r="B7" s="1222"/>
      <c r="C7" s="1223"/>
      <c r="D7" s="1224"/>
      <c r="E7" s="1031"/>
    </row>
    <row r="8" spans="1:5" ht="15" customHeight="1">
      <c r="A8" s="1268"/>
      <c r="B8" s="1222"/>
      <c r="C8" s="1223"/>
      <c r="D8" s="1224"/>
      <c r="E8" s="1031"/>
    </row>
    <row r="9" spans="1:5" ht="15" customHeight="1">
      <c r="A9" s="1268"/>
      <c r="B9" s="1222"/>
      <c r="C9" s="1223"/>
      <c r="D9" s="1224"/>
      <c r="E9" s="1031"/>
    </row>
    <row r="10" spans="1:5" ht="15" customHeight="1">
      <c r="A10" s="1268"/>
      <c r="B10" s="1222"/>
      <c r="C10" s="1223"/>
      <c r="D10" s="1224"/>
      <c r="E10" s="1031"/>
    </row>
    <row r="11" spans="1:5" ht="16.5" customHeight="1">
      <c r="A11" s="1268"/>
      <c r="B11" s="1222"/>
      <c r="C11" s="1223"/>
      <c r="D11" s="1224"/>
      <c r="E11" s="1031"/>
    </row>
    <row r="12" spans="1:5" ht="15.75" customHeight="1">
      <c r="A12" s="1225"/>
      <c r="B12" s="1225"/>
      <c r="C12" s="2453" t="s">
        <v>1129</v>
      </c>
      <c r="D12" s="2387"/>
      <c r="E12" s="1031"/>
    </row>
    <row r="13" spans="1:5" ht="19.5" customHeight="1">
      <c r="A13" s="2388" t="s">
        <v>1130</v>
      </c>
      <c r="B13" s="2389"/>
      <c r="C13" s="2452" t="s">
        <v>500</v>
      </c>
      <c r="D13" s="2401"/>
      <c r="E13" s="1031"/>
    </row>
    <row r="14" spans="1:5" ht="15" customHeight="1">
      <c r="A14" s="1225"/>
      <c r="B14" s="1227" t="s">
        <v>731</v>
      </c>
      <c r="C14" s="2400" t="s">
        <v>33</v>
      </c>
      <c r="D14" s="2401"/>
      <c r="E14" s="1031"/>
    </row>
    <row r="15" spans="1:5" ht="15" customHeight="1">
      <c r="A15" s="1225"/>
      <c r="B15" s="535"/>
      <c r="C15" s="2390" t="s">
        <v>631</v>
      </c>
      <c r="D15" s="2401"/>
      <c r="E15" s="1031"/>
    </row>
    <row r="16" spans="1:5" ht="15" customHeight="1">
      <c r="A16" s="1225"/>
      <c r="B16" s="535"/>
      <c r="C16" s="2400" t="s">
        <v>1131</v>
      </c>
      <c r="D16" s="2401"/>
      <c r="E16" s="1031"/>
    </row>
    <row r="17" spans="1:5" ht="15" customHeight="1">
      <c r="A17" s="1225"/>
      <c r="B17" s="535"/>
      <c r="C17" s="2452" t="s">
        <v>144</v>
      </c>
      <c r="D17" s="2401"/>
      <c r="E17" s="1031"/>
    </row>
    <row r="18" spans="1:5" ht="15" customHeight="1">
      <c r="A18" s="1225"/>
      <c r="B18" s="535"/>
      <c r="C18" s="2452" t="s">
        <v>1132</v>
      </c>
      <c r="D18" s="2401"/>
      <c r="E18" s="1031"/>
    </row>
    <row r="19" spans="1:5" ht="15" customHeight="1">
      <c r="A19" s="1225"/>
      <c r="B19" s="535"/>
      <c r="C19" s="2452" t="s">
        <v>1134</v>
      </c>
      <c r="D19" s="2401"/>
      <c r="E19" s="1031"/>
    </row>
    <row r="20" spans="1:5" ht="15" customHeight="1">
      <c r="A20" s="1225"/>
      <c r="B20" s="535"/>
      <c r="C20" s="2400" t="s">
        <v>1135</v>
      </c>
      <c r="D20" s="2401"/>
      <c r="E20" s="1031"/>
    </row>
    <row r="21" spans="1:5" ht="15" customHeight="1">
      <c r="A21" s="1225"/>
      <c r="B21" s="535"/>
      <c r="C21" s="2391" t="s">
        <v>159</v>
      </c>
      <c r="D21" s="2391"/>
      <c r="E21" s="1031"/>
    </row>
    <row r="22" spans="1:5" ht="15" customHeight="1">
      <c r="A22" s="1225"/>
      <c r="B22" s="535"/>
      <c r="C22" s="2400" t="s">
        <v>493</v>
      </c>
      <c r="D22" s="2401"/>
      <c r="E22" s="1031"/>
    </row>
    <row r="23" spans="1:5" ht="15" customHeight="1">
      <c r="A23" s="1225"/>
      <c r="B23" s="535"/>
      <c r="C23" s="2390" t="s">
        <v>536</v>
      </c>
      <c r="D23" s="2401"/>
      <c r="E23" s="1031"/>
    </row>
    <row r="24" spans="1:5" ht="15" customHeight="1">
      <c r="A24" s="1225"/>
      <c r="B24" s="535"/>
      <c r="C24" s="2390" t="s">
        <v>386</v>
      </c>
      <c r="D24" s="2401"/>
      <c r="E24" s="1031"/>
    </row>
    <row r="25" spans="1:5" ht="15" customHeight="1">
      <c r="A25" s="1225"/>
      <c r="B25" s="535"/>
      <c r="C25" s="2452" t="s">
        <v>1137</v>
      </c>
      <c r="D25" s="2452"/>
      <c r="E25" s="1031"/>
    </row>
    <row r="26" spans="1:5" ht="13.5" customHeight="1">
      <c r="A26" s="1225"/>
      <c r="B26" s="1228"/>
      <c r="C26" s="2398"/>
      <c r="D26" s="2398"/>
      <c r="E26" s="1031"/>
    </row>
    <row r="27" spans="1:5" ht="19.5" customHeight="1">
      <c r="A27" s="2457" t="s">
        <v>1136</v>
      </c>
      <c r="B27" s="2425"/>
      <c r="C27" s="2393" t="s">
        <v>344</v>
      </c>
      <c r="D27" s="2393"/>
      <c r="E27" s="1031"/>
    </row>
    <row r="28" spans="1:5" ht="13.5" customHeight="1">
      <c r="A28" s="1225"/>
      <c r="B28" s="1227" t="s">
        <v>568</v>
      </c>
      <c r="C28" s="2452" t="s">
        <v>670</v>
      </c>
      <c r="D28" s="2401"/>
      <c r="E28" s="1031"/>
    </row>
    <row r="29" spans="1:5" ht="13.5" customHeight="1">
      <c r="A29" s="1225"/>
      <c r="B29" s="1225"/>
      <c r="C29" s="2452" t="s">
        <v>1159</v>
      </c>
      <c r="D29" s="2452"/>
      <c r="E29" s="1031"/>
    </row>
    <row r="30" spans="1:5" ht="13.5" customHeight="1">
      <c r="A30" s="1225"/>
      <c r="B30" s="1225"/>
      <c r="C30" s="2452" t="s">
        <v>1160</v>
      </c>
      <c r="D30" s="2452"/>
      <c r="E30" s="1031"/>
    </row>
    <row r="31" spans="1:5" ht="13.5" customHeight="1">
      <c r="A31" s="1225"/>
      <c r="B31" s="1228"/>
      <c r="C31" s="1229"/>
      <c r="D31" s="1211" t="s">
        <v>1161</v>
      </c>
      <c r="E31" s="1031"/>
    </row>
    <row r="32" spans="1:5" ht="13.5" customHeight="1">
      <c r="A32" s="1225"/>
      <c r="B32" s="1228"/>
      <c r="C32" s="231"/>
      <c r="D32" s="231"/>
      <c r="E32" s="1031"/>
    </row>
    <row r="33" spans="1:5" ht="19.5" customHeight="1">
      <c r="A33" s="2426" t="s">
        <v>1162</v>
      </c>
      <c r="B33" s="2394"/>
      <c r="C33" s="2396" t="s">
        <v>1163</v>
      </c>
      <c r="D33" s="2396"/>
      <c r="E33" s="1031"/>
    </row>
    <row r="34" spans="1:5" ht="15" customHeight="1">
      <c r="A34" s="1226"/>
      <c r="B34" s="1227" t="s">
        <v>731</v>
      </c>
      <c r="C34" s="2452" t="s">
        <v>670</v>
      </c>
      <c r="D34" s="2401"/>
      <c r="E34" s="1031"/>
    </row>
    <row r="35" spans="1:5" ht="15" customHeight="1">
      <c r="A35" s="1225"/>
      <c r="B35" s="1228"/>
      <c r="C35" s="2452" t="s">
        <v>1159</v>
      </c>
      <c r="D35" s="2452"/>
      <c r="E35" s="1031"/>
    </row>
    <row r="36" spans="1:5" ht="15" customHeight="1">
      <c r="A36" s="1225"/>
      <c r="B36" s="1228"/>
      <c r="C36" s="2452" t="s">
        <v>1160</v>
      </c>
      <c r="D36" s="2452"/>
      <c r="E36" s="1031"/>
    </row>
    <row r="37" spans="1:5" ht="15" customHeight="1">
      <c r="A37" s="1225"/>
      <c r="B37" s="1228"/>
      <c r="C37" s="1230"/>
      <c r="D37" s="1211" t="s">
        <v>1161</v>
      </c>
      <c r="E37" s="1031"/>
    </row>
    <row r="38" spans="1:5" ht="13.5" customHeight="1">
      <c r="A38" s="1225"/>
      <c r="B38" s="1228"/>
      <c r="C38" s="1230"/>
      <c r="D38" s="1211"/>
      <c r="E38" s="1031"/>
    </row>
    <row r="39" spans="1:5" ht="19.5" customHeight="1">
      <c r="A39" s="2395" t="s">
        <v>1164</v>
      </c>
      <c r="B39" s="2395"/>
      <c r="C39" s="2453" t="s">
        <v>1165</v>
      </c>
      <c r="D39" s="2453"/>
      <c r="E39" s="1031"/>
    </row>
    <row r="40" spans="1:5" ht="15" customHeight="1">
      <c r="A40" s="463"/>
      <c r="B40" s="1227" t="s">
        <v>731</v>
      </c>
      <c r="C40" s="2453" t="s">
        <v>1166</v>
      </c>
      <c r="D40" s="2453"/>
      <c r="E40" s="1031"/>
    </row>
    <row r="41" spans="1:5" ht="15" customHeight="1">
      <c r="A41" s="463"/>
      <c r="B41" s="535"/>
      <c r="C41" s="2454" t="s">
        <v>1167</v>
      </c>
      <c r="D41" s="2454"/>
      <c r="E41" s="1031"/>
    </row>
    <row r="42" spans="1:5" ht="15" customHeight="1">
      <c r="A42" s="231"/>
      <c r="B42" s="535"/>
      <c r="C42" s="2392" t="s">
        <v>1168</v>
      </c>
      <c r="D42" s="2392"/>
      <c r="E42" s="1031"/>
    </row>
    <row r="43" spans="1:5" ht="13.5" customHeight="1">
      <c r="A43" s="1225"/>
      <c r="B43" s="535"/>
      <c r="C43" s="231"/>
      <c r="D43" s="231"/>
      <c r="E43" s="1031"/>
    </row>
    <row r="44" spans="1:5" ht="19.5" customHeight="1">
      <c r="A44" s="2457" t="s">
        <v>1169</v>
      </c>
      <c r="B44" s="2425"/>
      <c r="C44" s="2453" t="s">
        <v>1171</v>
      </c>
      <c r="D44" s="2453"/>
      <c r="E44" s="1031"/>
    </row>
    <row r="45" spans="1:5" ht="15" customHeight="1">
      <c r="A45" s="1225"/>
      <c r="B45" s="1227" t="s">
        <v>568</v>
      </c>
      <c r="C45" s="231"/>
      <c r="D45" s="231"/>
      <c r="E45" s="1031"/>
    </row>
    <row r="46" spans="1:5" ht="15" customHeight="1">
      <c r="A46" s="1225"/>
      <c r="B46" s="1227"/>
      <c r="C46" s="231"/>
      <c r="D46" s="231"/>
      <c r="E46" s="1031"/>
    </row>
    <row r="47" spans="1:5" ht="19.5" customHeight="1">
      <c r="A47" s="2426" t="s">
        <v>660</v>
      </c>
      <c r="B47" s="2427"/>
      <c r="C47" s="2398" t="s">
        <v>663</v>
      </c>
      <c r="D47" s="2398"/>
      <c r="E47" s="1031"/>
    </row>
    <row r="48" spans="1:5" ht="15" customHeight="1">
      <c r="A48" s="1301"/>
      <c r="B48" s="1227" t="s">
        <v>731</v>
      </c>
      <c r="C48" s="2452" t="s">
        <v>664</v>
      </c>
      <c r="D48" s="2401"/>
      <c r="E48" s="1031"/>
    </row>
    <row r="49" spans="1:5" ht="15" customHeight="1">
      <c r="A49" s="1301"/>
      <c r="B49" s="535"/>
      <c r="C49" s="2452" t="s">
        <v>665</v>
      </c>
      <c r="D49" s="2452"/>
      <c r="E49" s="1031"/>
    </row>
    <row r="50" spans="1:5" ht="15" customHeight="1">
      <c r="A50" s="1301"/>
      <c r="B50" s="535"/>
      <c r="C50" s="463"/>
      <c r="D50" s="1302" t="s">
        <v>666</v>
      </c>
      <c r="E50" s="1031"/>
    </row>
    <row r="51" spans="1:5" ht="15" customHeight="1">
      <c r="A51" s="1301"/>
      <c r="B51" s="535"/>
      <c r="C51" s="2452" t="s">
        <v>667</v>
      </c>
      <c r="D51" s="2401"/>
      <c r="E51" s="1031"/>
    </row>
    <row r="52" spans="1:5" ht="15" customHeight="1">
      <c r="A52" s="1301"/>
      <c r="B52" s="535"/>
      <c r="C52" s="463"/>
      <c r="D52" s="1302" t="s">
        <v>666</v>
      </c>
      <c r="E52" s="1031"/>
    </row>
    <row r="53" spans="1:5" ht="15" customHeight="1">
      <c r="A53" s="1301"/>
      <c r="B53" s="535"/>
      <c r="C53" s="2452" t="s">
        <v>668</v>
      </c>
      <c r="D53" s="2452"/>
      <c r="E53" s="1031"/>
    </row>
    <row r="54" spans="1:5" ht="15" customHeight="1">
      <c r="A54" s="1225"/>
      <c r="B54" s="535"/>
      <c r="C54" s="2452" t="s">
        <v>669</v>
      </c>
      <c r="D54" s="2452"/>
      <c r="E54" s="1031"/>
    </row>
    <row r="55" spans="1:5" ht="15" customHeight="1">
      <c r="A55" s="1225"/>
      <c r="B55" s="535"/>
      <c r="C55" s="2452" t="s">
        <v>1160</v>
      </c>
      <c r="D55" s="2452"/>
      <c r="E55" s="1031"/>
    </row>
    <row r="56" spans="1:5" ht="15" customHeight="1">
      <c r="A56" s="1225"/>
      <c r="B56" s="1227"/>
      <c r="C56" s="231"/>
      <c r="D56" s="231"/>
      <c r="E56" s="1031"/>
    </row>
    <row r="57" spans="1:5" ht="21">
      <c r="A57" s="2397" t="s">
        <v>623</v>
      </c>
      <c r="B57" s="2383"/>
      <c r="C57" s="2384" t="s">
        <v>624</v>
      </c>
      <c r="D57" s="2384"/>
      <c r="E57" s="1031"/>
    </row>
    <row r="58" spans="1:5" ht="15" customHeight="1">
      <c r="A58" s="1225"/>
      <c r="B58" s="1227" t="s">
        <v>568</v>
      </c>
      <c r="C58" s="231"/>
      <c r="D58" s="231"/>
      <c r="E58" s="1031"/>
    </row>
    <row r="59" spans="1:5" ht="12" customHeight="1">
      <c r="A59" s="1225"/>
      <c r="B59" s="1227"/>
      <c r="C59" s="231"/>
      <c r="D59" s="231"/>
      <c r="E59" s="1031"/>
    </row>
    <row r="60" spans="1:5" ht="15" customHeight="1">
      <c r="A60" s="2455" t="s">
        <v>1175</v>
      </c>
      <c r="B60" s="2456"/>
      <c r="C60" s="2456"/>
      <c r="D60" s="2456"/>
      <c r="E60" s="1031"/>
    </row>
    <row r="61" spans="1:5" ht="12" customHeight="1">
      <c r="A61" s="1231"/>
      <c r="B61" s="535"/>
      <c r="C61" s="231"/>
      <c r="D61" s="1747" t="s">
        <v>462</v>
      </c>
      <c r="E61" s="1031"/>
    </row>
    <row r="62" spans="1:5" ht="12" customHeight="1">
      <c r="A62" s="1231"/>
      <c r="B62" s="1232"/>
      <c r="C62" s="1233"/>
      <c r="D62" s="1234" t="s">
        <v>319</v>
      </c>
      <c r="E62" s="1031"/>
    </row>
    <row r="63" spans="1:5" ht="12" customHeight="1">
      <c r="A63" s="1235"/>
      <c r="B63" s="1236"/>
      <c r="C63" s="1233"/>
      <c r="D63" s="1237" t="s">
        <v>645</v>
      </c>
      <c r="E63" s="1031"/>
    </row>
    <row r="64" spans="1:5" ht="12" customHeight="1">
      <c r="A64" s="1235" t="s">
        <v>1172</v>
      </c>
      <c r="B64" s="1236"/>
      <c r="C64" s="1233"/>
      <c r="D64" s="1774" t="s">
        <v>742</v>
      </c>
      <c r="E64" s="2050"/>
    </row>
    <row r="65" spans="1:5" ht="12" customHeight="1">
      <c r="A65" s="2451" t="s">
        <v>1173</v>
      </c>
      <c r="B65" s="2451"/>
      <c r="C65" s="2451"/>
      <c r="D65" s="1238" t="s">
        <v>321</v>
      </c>
      <c r="E65" s="1031"/>
    </row>
    <row r="66" spans="1:5" ht="13.5">
      <c r="A66" s="1031"/>
      <c r="B66" s="1031"/>
      <c r="C66" s="1031"/>
      <c r="D66" s="1031"/>
      <c r="E66" s="1031"/>
    </row>
  </sheetData>
  <sheetProtection password="FA80" sheet="1" objects="1" scenarios="1"/>
  <mergeCells count="46">
    <mergeCell ref="A57:B57"/>
    <mergeCell ref="C57:D57"/>
    <mergeCell ref="C54:D54"/>
    <mergeCell ref="C49:D49"/>
    <mergeCell ref="C51:D51"/>
    <mergeCell ref="A33:B33"/>
    <mergeCell ref="C34:D34"/>
    <mergeCell ref="A39:B39"/>
    <mergeCell ref="C33:D33"/>
    <mergeCell ref="C26:D26"/>
    <mergeCell ref="C28:D28"/>
    <mergeCell ref="C42:D42"/>
    <mergeCell ref="C48:D48"/>
    <mergeCell ref="C36:D36"/>
    <mergeCell ref="C29:D29"/>
    <mergeCell ref="C39:D39"/>
    <mergeCell ref="C30:D30"/>
    <mergeCell ref="C35:D35"/>
    <mergeCell ref="C27:D27"/>
    <mergeCell ref="C25:D25"/>
    <mergeCell ref="C18:D18"/>
    <mergeCell ref="C24:D24"/>
    <mergeCell ref="C19:D19"/>
    <mergeCell ref="C22:D22"/>
    <mergeCell ref="C23:D23"/>
    <mergeCell ref="C21:D21"/>
    <mergeCell ref="A1:D1"/>
    <mergeCell ref="C20:D20"/>
    <mergeCell ref="C14:D14"/>
    <mergeCell ref="A27:B27"/>
    <mergeCell ref="C12:D12"/>
    <mergeCell ref="A13:B13"/>
    <mergeCell ref="C16:D16"/>
    <mergeCell ref="C13:D13"/>
    <mergeCell ref="C15:D15"/>
    <mergeCell ref="C17:D17"/>
    <mergeCell ref="A65:C65"/>
    <mergeCell ref="C55:D55"/>
    <mergeCell ref="C40:D40"/>
    <mergeCell ref="C41:D41"/>
    <mergeCell ref="A60:D60"/>
    <mergeCell ref="C44:D44"/>
    <mergeCell ref="A44:B44"/>
    <mergeCell ref="A47:B47"/>
    <mergeCell ref="C47:D47"/>
    <mergeCell ref="C53:D53"/>
  </mergeCells>
  <hyperlinks>
    <hyperlink ref="A13" location="'Beer Kit Calc''s Etc.'!A1" display="Peter's Beer Kit Calculators Etc."/>
    <hyperlink ref="C13" location="'Beer Kit Calc''s Etc.'!B5" display="Beer Kit Modifier"/>
    <hyperlink ref="C14" location="'Beer Kit Calc''s Etc.'!B26" display="Some Typical Beer Styles Carbonation Levels."/>
    <hyperlink ref="C15" location="'Beer Kit Calc''s Etc.'!A39" display="Bottling Guide"/>
    <hyperlink ref="C16" location="'Beer Kit Calc''s Etc.'!C66" display="UK Coin Weights "/>
    <hyperlink ref="C20" location="'Beer Kit Calc''s Etc.'!AO2" display="General Converters - Vol., weights etc."/>
    <hyperlink ref="C22" location="'Beer Kit Calc''s Etc.'!AO41" display="Quick ABV Estimator"/>
    <hyperlink ref="C23" location="'Beer Kit Calc''s Etc.'!AO50" display="BMI Calculator"/>
    <hyperlink ref="C24" location="'Beer Kit Calc''s Etc.'!AO63" display="Reduced Alcohol Beers (&amp; Wines)"/>
    <hyperlink ref="A33" location="'Beer Calc.'!A1" display="Peter's Beer Calculations"/>
    <hyperlink ref="A39" location="Primer!A1" display="Priming Chart For Beers"/>
    <hyperlink ref="C55" location="'Beer Calc.'!B94" display="Technical Section"/>
    <hyperlink ref="C30" location="'Extract Calc.'!B172" display="Technical Section"/>
    <hyperlink ref="A27" location="'Extract Calc.'!A1" display="Peter's Malt Extract Calculator"/>
    <hyperlink ref="A44:B44" location="BJCP!D1" display="BJCP Guide"/>
    <hyperlink ref="A13:B13" location="'Beer Kit Calc''s Etc'!I1" display="Beer Kit Calculators Etc"/>
    <hyperlink ref="A33:B33" location="'Beer Calc'!F1" display="Beer Calculations"/>
    <hyperlink ref="A27:B27" location="'Extract Calc'!I1" display="Malt Extract Calculator"/>
    <hyperlink ref="C14:D14" location="'Beer Kit Calc''s Etc'!B26" display="A Few Typical Beer Styles Carbonation Levels."/>
    <hyperlink ref="C16:D16" location="'Beer Kit Calc''s Etc'!C68" display="UK Coin Weights "/>
    <hyperlink ref="C22:D22" location="'Beer Kit Calc''s Etc'!AP45" display="Quick ABV Estimator"/>
    <hyperlink ref="C13:D13" location="'Beer Kit Calc''s Etc'!B6" display="Beer Kit Modifier"/>
    <hyperlink ref="C15:D15" location="'Beer Kit Calc''s Etc'!A41" display="Bottling Guide"/>
    <hyperlink ref="C20:D20" location="'Beer Kit Calc''s Etc'!AP1" display="General Converters - Vol., weights etc."/>
    <hyperlink ref="C23:D23" location="'Beer Kit Calc''s Etc'!AP59" display="BMI Calculator"/>
    <hyperlink ref="C24:D24" location="'Beer Kit Calc''s Etc'!AQ72" display="Reduced Alcohol Beers (&amp; Wines)"/>
    <hyperlink ref="C35:D35" location="'Beer Calc'!H6" display="Calorie/Carbohydrate/Unit Data."/>
    <hyperlink ref="A39:B39" location="Primer!D1" display="Priming Chart For Beers"/>
    <hyperlink ref="C42:D42" location="Primer!B51" display="Volume CO2 to PSI or Atm. or Bar "/>
    <hyperlink ref="C17:D17" location="'Beer Kit Calc''s Etc'!B72" display="Hop Drying"/>
    <hyperlink ref="D63" r:id="rId1" display="david.barrow@live.co.uk"/>
    <hyperlink ref="D65" r:id="rId2" display="www.yobrew.co.uk"/>
    <hyperlink ref="D62" r:id="rId3" display="www.petespintpot.co.uk"/>
    <hyperlink ref="C18:D18" location="'Beer Kit Calc''s Etc'!B80" display="Gravity Calculations (for beers)"/>
    <hyperlink ref="C19:D19" location="'Beer Kit Calc''s Etc'!B86" display="Colour Chart (for beers)"/>
    <hyperlink ref="C29:D29" location="'Extract Calc'!K4" display="Calorie/Carbohydrate/Unit Data."/>
    <hyperlink ref="C30:D30" location="'Extract Calc'!B106" display="Technical Section"/>
    <hyperlink ref="C55:D55" location="'Wine Calc '!B278" display="Technical Section"/>
    <hyperlink ref="A47:B47" location="'Wine Calc '!J1" display="Wine Calculator"/>
    <hyperlink ref="D50" location="'Wine Calc '!C188" display="Calorie/unit counter."/>
    <hyperlink ref="C49:D49" location="'Wine Calc '!X1" display="Typical Wine Parameters"/>
    <hyperlink ref="C53:D53" location="'Wine Calc '!B259" display="Sugar Solutions (Syrups)"/>
    <hyperlink ref="C54:D54" location="'Wine Calc '!B265" display="Fortifying Wines"/>
    <hyperlink ref="C48" location="'Wine Calc. 2.1'!B169" display="Summary for Finished Wines"/>
    <hyperlink ref="C48:D48" location="'Wine Calc '!A3" display="Summary for Finished Wine"/>
    <hyperlink ref="D52" location="'Wine Calc '!C207" display="Calorie/unit counter."/>
    <hyperlink ref="C51" location="'Wine Calc'!B186" display="Priming &quot;Ciders&quot; &amp; Sparkling Wines"/>
    <hyperlink ref="C51:D51" location="'Wine Calc '!B196" display="Priming Ciders &amp; Sparkling Wines"/>
    <hyperlink ref="C25:D25" location="'Beer Kit Calc''s Etc'!AO93" display="Beer &amp; Wine Sugar Stages"/>
    <hyperlink ref="A57:B57" location="Jam!I1" display="Jam Calculator"/>
    <hyperlink ref="C34" location="'Wine Calc. 2.1'!B169" display="Summary for Finished Wines"/>
    <hyperlink ref="C34:D34" location="'Beer Calc'!B6" display="Summary for Finished Beer"/>
    <hyperlink ref="D64" r:id="rId4" display="mailto:jamesbsmith@hotmail.com"/>
    <hyperlink ref="C36" location="'Extract Calc.'!B172" display="Technical Section"/>
    <hyperlink ref="C36:D36" location="'Beer Calc'!B121" display="Technical Section"/>
    <hyperlink ref="C28" location="'Wine Calc. 2.1'!B169" display="Summary for Finished Wines"/>
    <hyperlink ref="C28:D28" location="'Extract Calc'!B4" display="Summary for Finished Beer"/>
    <hyperlink ref="C21:D21" location="'Beer Kit Calc''s Etc'!AY41" display="Hydrometer Temp. Correction"/>
  </hyperlinks>
  <printOptions horizontalCentered="1"/>
  <pageMargins left="0.5511811023622047" right="0.5511811023622047" top="0.37" bottom="0.5118110236220472" header="0.21" footer="0.31496062992125984"/>
  <pageSetup fitToHeight="1" fitToWidth="1" horizontalDpi="600" verticalDpi="600" orientation="portrait" paperSize="9" scale="83" r:id="rId6"/>
  <drawing r:id="rId5"/>
</worksheet>
</file>

<file path=xl/worksheets/sheet2.xml><?xml version="1.0" encoding="utf-8"?>
<worksheet xmlns="http://schemas.openxmlformats.org/spreadsheetml/2006/main" xmlns:r="http://schemas.openxmlformats.org/officeDocument/2006/relationships">
  <sheetPr>
    <tabColor indexed="53"/>
  </sheetPr>
  <dimension ref="A1:BF132"/>
  <sheetViews>
    <sheetView zoomScale="75" zoomScaleNormal="75" zoomScaleSheetLayoutView="100" zoomScalePageLayoutView="0" workbookViewId="0" topLeftCell="A13">
      <selection activeCell="C19" sqref="C19"/>
    </sheetView>
  </sheetViews>
  <sheetFormatPr defaultColWidth="9.140625" defaultRowHeight="15"/>
  <cols>
    <col min="1" max="1" width="2.00390625" style="23" customWidth="1"/>
    <col min="2" max="2" width="25.00390625" style="23" customWidth="1"/>
    <col min="3" max="3" width="8.8515625" style="22" customWidth="1"/>
    <col min="4" max="4" width="8.00390625" style="23" customWidth="1"/>
    <col min="5" max="5" width="5.421875" style="23" customWidth="1"/>
    <col min="6" max="12" width="5.28125" style="23" customWidth="1"/>
    <col min="13" max="13" width="5.421875" style="23" customWidth="1"/>
    <col min="14" max="14" width="5.28125" style="23" customWidth="1"/>
    <col min="15" max="15" width="5.140625" style="23" customWidth="1"/>
    <col min="16" max="26" width="5.28125" style="23" customWidth="1"/>
    <col min="27" max="27" width="5.421875" style="23" customWidth="1"/>
    <col min="28" max="28" width="5.00390625" style="23" customWidth="1"/>
    <col min="29" max="30" width="6.57421875" style="23" hidden="1" customWidth="1"/>
    <col min="31" max="33" width="6.57421875" style="0" hidden="1" customWidth="1"/>
    <col min="34" max="36" width="6.57421875" style="23" hidden="1" customWidth="1"/>
    <col min="37" max="38" width="7.8515625" style="23" hidden="1" customWidth="1"/>
    <col min="39" max="39" width="7.28125" style="23" hidden="1" customWidth="1"/>
    <col min="40" max="40" width="1.28515625" style="23" customWidth="1"/>
    <col min="41" max="41" width="2.7109375" style="23" customWidth="1"/>
    <col min="42" max="42" width="25.00390625" style="23" customWidth="1"/>
    <col min="43" max="57" width="8.140625" style="23" customWidth="1"/>
    <col min="58" max="58" width="3.140625" style="23" customWidth="1"/>
    <col min="59" max="16384" width="9.140625" style="23" customWidth="1"/>
  </cols>
  <sheetData>
    <row r="1" spans="1:58" ht="18.75" customHeight="1">
      <c r="A1" s="4"/>
      <c r="B1" s="376"/>
      <c r="C1" s="164"/>
      <c r="D1" s="165"/>
      <c r="E1" s="348"/>
      <c r="F1" s="348"/>
      <c r="G1" s="349"/>
      <c r="H1" s="349"/>
      <c r="I1" s="2505" t="s">
        <v>648</v>
      </c>
      <c r="J1" s="2505"/>
      <c r="K1" s="2505"/>
      <c r="L1" s="2505"/>
      <c r="M1" s="2505"/>
      <c r="N1" s="2505"/>
      <c r="O1" s="2505"/>
      <c r="P1" s="2505"/>
      <c r="Q1" s="350"/>
      <c r="R1" s="350"/>
      <c r="S1" s="350"/>
      <c r="T1" s="350"/>
      <c r="U1" s="350"/>
      <c r="V1" s="350"/>
      <c r="W1" s="350"/>
      <c r="X1" s="350"/>
      <c r="Y1" s="350"/>
      <c r="Z1" s="350"/>
      <c r="AA1" s="2551" t="s">
        <v>731</v>
      </c>
      <c r="AB1" s="2551"/>
      <c r="AC1" s="351" t="s">
        <v>490</v>
      </c>
      <c r="AD1" s="351" t="s">
        <v>490</v>
      </c>
      <c r="AE1" s="1708" t="s">
        <v>1433</v>
      </c>
      <c r="AF1" s="1708" t="s">
        <v>1434</v>
      </c>
      <c r="AG1" s="1708" t="s">
        <v>1435</v>
      </c>
      <c r="AH1" s="351" t="s">
        <v>490</v>
      </c>
      <c r="AI1" s="351" t="s">
        <v>490</v>
      </c>
      <c r="AJ1" s="351" t="s">
        <v>490</v>
      </c>
      <c r="AK1" s="351" t="s">
        <v>490</v>
      </c>
      <c r="AL1" s="351" t="s">
        <v>490</v>
      </c>
      <c r="AM1" s="351" t="s">
        <v>490</v>
      </c>
      <c r="AN1" s="344"/>
      <c r="AO1" s="2548" t="s">
        <v>657</v>
      </c>
      <c r="AP1" s="2548"/>
      <c r="AQ1" s="167"/>
      <c r="AR1" s="168"/>
      <c r="AS1" s="4"/>
      <c r="AT1" s="172"/>
      <c r="AU1" s="172"/>
      <c r="AV1" s="172"/>
      <c r="AW1" s="172"/>
      <c r="AX1" s="172"/>
      <c r="AY1" s="172"/>
      <c r="AZ1" s="173"/>
      <c r="BA1" s="174"/>
      <c r="BB1" s="175"/>
      <c r="BC1" s="4"/>
      <c r="BD1" s="4"/>
      <c r="BE1" s="4"/>
      <c r="BF1" s="4"/>
    </row>
    <row r="2" spans="1:58" ht="15" customHeight="1">
      <c r="A2" s="4"/>
      <c r="B2" s="377" t="s">
        <v>513</v>
      </c>
      <c r="C2" s="167"/>
      <c r="D2" s="168"/>
      <c r="E2" s="243"/>
      <c r="F2" s="243"/>
      <c r="G2" s="151"/>
      <c r="H2" s="168"/>
      <c r="I2" s="201"/>
      <c r="J2" s="170"/>
      <c r="K2" s="201"/>
      <c r="L2" s="201"/>
      <c r="M2" s="201"/>
      <c r="N2" s="201"/>
      <c r="O2" s="201"/>
      <c r="P2" s="201"/>
      <c r="Q2" s="201"/>
      <c r="R2" s="201"/>
      <c r="S2" s="201"/>
      <c r="T2" s="201"/>
      <c r="U2" s="201"/>
      <c r="V2" s="201"/>
      <c r="W2" s="1456"/>
      <c r="X2" s="412"/>
      <c r="Y2" s="2552" t="s">
        <v>319</v>
      </c>
      <c r="Z2" s="2552"/>
      <c r="AA2" s="2552"/>
      <c r="AB2" s="2552"/>
      <c r="AC2" s="10" t="s">
        <v>384</v>
      </c>
      <c r="AD2" s="11">
        <f>89.6/342</f>
        <v>0.2619883040935672</v>
      </c>
      <c r="AE2" s="1702">
        <v>0</v>
      </c>
      <c r="AF2" s="1703">
        <v>0</v>
      </c>
      <c r="AG2" s="1702">
        <v>0</v>
      </c>
      <c r="AH2" s="201"/>
      <c r="AI2" s="201"/>
      <c r="AJ2" s="201"/>
      <c r="AK2" s="201"/>
      <c r="AL2" s="201"/>
      <c r="AM2" s="201"/>
      <c r="AN2" s="344"/>
      <c r="AO2" s="344"/>
      <c r="AP2" s="352"/>
      <c r="AQ2" s="167"/>
      <c r="AR2" s="168"/>
      <c r="AS2" s="4"/>
      <c r="AT2" s="172"/>
      <c r="AU2" s="4"/>
      <c r="AV2" s="4"/>
      <c r="AW2" s="4"/>
      <c r="AX2" s="4"/>
      <c r="AY2" s="4"/>
      <c r="AZ2" s="4"/>
      <c r="BA2" s="4"/>
      <c r="BB2" s="4"/>
      <c r="BC2" s="4"/>
      <c r="BD2" s="4"/>
      <c r="BE2" s="109"/>
      <c r="BF2" s="4"/>
    </row>
    <row r="3" spans="1:58" ht="15" customHeight="1">
      <c r="A3" s="4"/>
      <c r="B3" s="2508" t="s">
        <v>256</v>
      </c>
      <c r="C3" s="2466"/>
      <c r="D3" s="2466"/>
      <c r="E3" s="2466"/>
      <c r="F3" s="2466"/>
      <c r="G3" s="2466"/>
      <c r="H3" s="2466"/>
      <c r="I3" s="2466"/>
      <c r="J3" s="2466"/>
      <c r="K3" s="2466"/>
      <c r="L3" s="2466"/>
      <c r="M3" s="2466"/>
      <c r="N3" s="2466"/>
      <c r="O3" s="2466"/>
      <c r="P3" s="2466"/>
      <c r="Q3" s="2466"/>
      <c r="R3" s="2466"/>
      <c r="S3" s="201"/>
      <c r="T3" s="201"/>
      <c r="U3" s="201"/>
      <c r="V3" s="201"/>
      <c r="W3" s="201"/>
      <c r="X3" s="201"/>
      <c r="Y3" s="201"/>
      <c r="Z3" s="201"/>
      <c r="AA3" s="201"/>
      <c r="AB3" s="344"/>
      <c r="AC3" s="16" t="s">
        <v>358</v>
      </c>
      <c r="AD3" s="17" t="s">
        <v>388</v>
      </c>
      <c r="AE3" s="1702">
        <f>AE2+0.5</f>
        <v>0.5</v>
      </c>
      <c r="AF3" s="1704">
        <f>(AF4+AF2)/2</f>
        <v>0.3975</v>
      </c>
      <c r="AG3" s="1705">
        <f>(AG4+AG2)/2</f>
        <v>0.6285</v>
      </c>
      <c r="AH3" s="201"/>
      <c r="AI3" s="201"/>
      <c r="AJ3" s="201"/>
      <c r="AK3" s="201"/>
      <c r="AL3" s="201"/>
      <c r="AM3" s="201"/>
      <c r="AN3" s="344"/>
      <c r="AO3" s="344"/>
      <c r="AP3" s="354" t="s">
        <v>366</v>
      </c>
      <c r="AQ3" s="191" t="s">
        <v>491</v>
      </c>
      <c r="AR3" s="191" t="s">
        <v>367</v>
      </c>
      <c r="AS3" s="191" t="s">
        <v>492</v>
      </c>
      <c r="AT3" s="381"/>
      <c r="AU3" s="4"/>
      <c r="AV3" s="189" t="s">
        <v>367</v>
      </c>
      <c r="AW3" s="189" t="s">
        <v>491</v>
      </c>
      <c r="AX3" s="189" t="s">
        <v>492</v>
      </c>
      <c r="AY3" s="4"/>
      <c r="AZ3" s="4"/>
      <c r="BA3" s="4"/>
      <c r="BB3" s="189" t="s">
        <v>367</v>
      </c>
      <c r="BC3" s="189" t="s">
        <v>492</v>
      </c>
      <c r="BD3" s="189" t="s">
        <v>491</v>
      </c>
      <c r="BE3" s="109"/>
      <c r="BF3" s="4"/>
    </row>
    <row r="4" spans="1:58" ht="15" customHeight="1">
      <c r="A4" s="4"/>
      <c r="B4" s="171"/>
      <c r="C4" s="167"/>
      <c r="D4" s="168"/>
      <c r="E4" s="243"/>
      <c r="F4" s="243"/>
      <c r="G4" s="151"/>
      <c r="H4" s="4"/>
      <c r="I4" s="4"/>
      <c r="J4" s="4"/>
      <c r="K4" s="4"/>
      <c r="L4" s="4"/>
      <c r="M4" s="4"/>
      <c r="N4" s="4"/>
      <c r="O4" s="4"/>
      <c r="P4" s="4"/>
      <c r="Q4" s="201"/>
      <c r="R4" s="201"/>
      <c r="S4" s="201"/>
      <c r="T4" s="201"/>
      <c r="U4" s="201"/>
      <c r="V4" s="201"/>
      <c r="W4" s="201"/>
      <c r="X4" s="201"/>
      <c r="Y4" s="201"/>
      <c r="Z4" s="201"/>
      <c r="AA4" s="201"/>
      <c r="AB4" s="344"/>
      <c r="AC4" s="18" t="s">
        <v>359</v>
      </c>
      <c r="AD4" s="19" t="s">
        <v>360</v>
      </c>
      <c r="AE4" s="1702">
        <f>AE3+0.5</f>
        <v>1</v>
      </c>
      <c r="AF4" s="1706">
        <v>0.795</v>
      </c>
      <c r="AG4" s="1707">
        <v>1.257</v>
      </c>
      <c r="AH4" s="201"/>
      <c r="AI4" s="201"/>
      <c r="AJ4" s="201"/>
      <c r="AK4" s="201"/>
      <c r="AL4" s="201"/>
      <c r="AM4" s="201"/>
      <c r="AN4" s="344"/>
      <c r="AO4" s="344"/>
      <c r="AP4" s="2549" t="s">
        <v>1756</v>
      </c>
      <c r="AQ4" s="192">
        <f>AR4/3.7854</f>
        <v>5.99936598510065</v>
      </c>
      <c r="AR4" s="262">
        <v>22.71</v>
      </c>
      <c r="AS4" s="193">
        <f>AQ4*(5/6)</f>
        <v>4.9994716542505415</v>
      </c>
      <c r="AT4" s="358"/>
      <c r="AU4" s="4"/>
      <c r="AV4" s="190">
        <f>3.7854*AW4</f>
        <v>3.7854</v>
      </c>
      <c r="AW4" s="261">
        <v>1</v>
      </c>
      <c r="AX4" s="190">
        <f>AW4*(5/6)</f>
        <v>0.8333333333333334</v>
      </c>
      <c r="AY4" s="4"/>
      <c r="AZ4" s="4"/>
      <c r="BA4" s="4"/>
      <c r="BB4" s="190">
        <f>3.7854*BD4</f>
        <v>22.712400000000002</v>
      </c>
      <c r="BC4" s="261">
        <v>5</v>
      </c>
      <c r="BD4" s="190">
        <f>BC4*(6/5)</f>
        <v>6</v>
      </c>
      <c r="BE4" s="109"/>
      <c r="BF4" s="4"/>
    </row>
    <row r="5" spans="1:58" ht="15" customHeight="1">
      <c r="A5" s="4"/>
      <c r="B5" s="4"/>
      <c r="C5" s="108"/>
      <c r="D5" s="4"/>
      <c r="E5" s="4"/>
      <c r="F5" s="4"/>
      <c r="G5" s="4"/>
      <c r="H5" s="1575"/>
      <c r="I5" s="2509" t="s">
        <v>452</v>
      </c>
      <c r="J5" s="2510"/>
      <c r="K5" s="2510"/>
      <c r="L5" s="2510"/>
      <c r="M5" s="2510"/>
      <c r="N5" s="2510"/>
      <c r="O5" s="2510"/>
      <c r="P5" s="2510"/>
      <c r="Q5" s="4"/>
      <c r="R5" s="4"/>
      <c r="S5" s="4"/>
      <c r="T5" s="4"/>
      <c r="U5" s="4"/>
      <c r="V5" s="201"/>
      <c r="W5" s="201"/>
      <c r="X5" s="201"/>
      <c r="Y5" s="201"/>
      <c r="Z5" s="201"/>
      <c r="AA5" s="201"/>
      <c r="AB5" s="344"/>
      <c r="AC5" s="1180">
        <v>0</v>
      </c>
      <c r="AD5" s="1181">
        <v>1.713</v>
      </c>
      <c r="AE5" s="1702">
        <f>AE4+0.5</f>
        <v>1.5</v>
      </c>
      <c r="AF5" s="1706">
        <f>(AF4+AF6)/2</f>
        <v>1.194</v>
      </c>
      <c r="AG5" s="1705">
        <f>(AG6+AG4)/2</f>
        <v>1.8834999999999997</v>
      </c>
      <c r="AH5" s="201"/>
      <c r="AI5" s="201"/>
      <c r="AJ5" s="201"/>
      <c r="AK5" s="201"/>
      <c r="AL5" s="201"/>
      <c r="AM5" s="201"/>
      <c r="AN5" s="344"/>
      <c r="AO5" s="344"/>
      <c r="AP5" s="2549"/>
      <c r="AQ5" s="358"/>
      <c r="AR5" s="358"/>
      <c r="AS5" s="358"/>
      <c r="AT5" s="358"/>
      <c r="AU5" s="4"/>
      <c r="AV5" s="111"/>
      <c r="AW5" s="111"/>
      <c r="AX5" s="111"/>
      <c r="AY5" s="111"/>
      <c r="AZ5" s="4"/>
      <c r="BA5" s="4"/>
      <c r="BB5" s="111"/>
      <c r="BC5" s="111"/>
      <c r="BD5" s="111"/>
      <c r="BE5" s="109"/>
      <c r="BF5" s="4"/>
    </row>
    <row r="6" spans="1:58" ht="15" customHeight="1">
      <c r="A6" s="4"/>
      <c r="B6" s="176" t="s">
        <v>500</v>
      </c>
      <c r="C6" s="177" t="s">
        <v>501</v>
      </c>
      <c r="D6" s="178" t="s">
        <v>498</v>
      </c>
      <c r="E6" s="4"/>
      <c r="F6" s="4"/>
      <c r="G6" s="4"/>
      <c r="H6" s="4"/>
      <c r="I6" s="4"/>
      <c r="J6" s="4"/>
      <c r="K6" s="4"/>
      <c r="L6" s="4"/>
      <c r="M6" s="4"/>
      <c r="N6" s="4"/>
      <c r="O6" s="4"/>
      <c r="P6" s="4"/>
      <c r="Q6" s="4"/>
      <c r="R6" s="4"/>
      <c r="S6" s="4"/>
      <c r="T6" s="4"/>
      <c r="U6" s="4"/>
      <c r="V6" s="201"/>
      <c r="W6" s="201"/>
      <c r="X6" s="201"/>
      <c r="Y6" s="201"/>
      <c r="Z6" s="201"/>
      <c r="AA6" s="201"/>
      <c r="AB6" s="344"/>
      <c r="AC6" s="1184">
        <f aca="true" t="shared" si="0" ref="AC6:AC35">AC5+1</f>
        <v>1</v>
      </c>
      <c r="AD6" s="1185">
        <v>1.646</v>
      </c>
      <c r="AE6" s="1702">
        <f aca="true" t="shared" si="1" ref="AE6:AE11">AE5+0.5</f>
        <v>2</v>
      </c>
      <c r="AF6" s="1706">
        <v>1.593</v>
      </c>
      <c r="AG6" s="1707">
        <v>2.51</v>
      </c>
      <c r="AH6" s="348"/>
      <c r="AI6" s="348"/>
      <c r="AJ6" s="348"/>
      <c r="AK6" s="348"/>
      <c r="AL6" s="348"/>
      <c r="AM6" s="348"/>
      <c r="AN6" s="344"/>
      <c r="AO6" s="344"/>
      <c r="AP6" s="2549"/>
      <c r="AQ6" s="191" t="s">
        <v>655</v>
      </c>
      <c r="AR6" s="191" t="s">
        <v>367</v>
      </c>
      <c r="AS6" s="191" t="s">
        <v>654</v>
      </c>
      <c r="AT6" s="201"/>
      <c r="AU6" s="4"/>
      <c r="AV6" s="191" t="s">
        <v>367</v>
      </c>
      <c r="AW6" s="191" t="s">
        <v>655</v>
      </c>
      <c r="AX6" s="191" t="s">
        <v>654</v>
      </c>
      <c r="AY6" s="4"/>
      <c r="AZ6" s="4"/>
      <c r="BA6" s="4"/>
      <c r="BB6" s="191" t="s">
        <v>367</v>
      </c>
      <c r="BC6" s="191" t="s">
        <v>654</v>
      </c>
      <c r="BD6" s="191" t="s">
        <v>655</v>
      </c>
      <c r="BE6" s="109"/>
      <c r="BF6" s="4"/>
    </row>
    <row r="7" spans="1:58" ht="15" customHeight="1">
      <c r="A7" s="4"/>
      <c r="B7" s="2083" t="s">
        <v>638</v>
      </c>
      <c r="C7" s="96">
        <v>23</v>
      </c>
      <c r="D7" s="96">
        <v>23</v>
      </c>
      <c r="E7" s="243"/>
      <c r="F7" s="243"/>
      <c r="G7" s="151"/>
      <c r="H7" s="2513" t="s">
        <v>205</v>
      </c>
      <c r="I7" s="2513"/>
      <c r="J7" s="2513"/>
      <c r="K7" s="2513"/>
      <c r="L7" s="2513"/>
      <c r="M7" s="2513"/>
      <c r="N7" s="2513"/>
      <c r="O7" s="2513"/>
      <c r="P7" s="2513"/>
      <c r="Q7" s="2513"/>
      <c r="R7" s="2513"/>
      <c r="S7" s="2513"/>
      <c r="T7" s="2513"/>
      <c r="U7" s="2513"/>
      <c r="V7" s="201"/>
      <c r="W7" s="201"/>
      <c r="X7" s="201"/>
      <c r="Y7" s="201"/>
      <c r="Z7" s="201"/>
      <c r="AA7" s="201"/>
      <c r="AB7" s="344"/>
      <c r="AC7" s="1180">
        <f t="shared" si="0"/>
        <v>2</v>
      </c>
      <c r="AD7" s="1181">
        <v>1.584</v>
      </c>
      <c r="AE7" s="1702">
        <f t="shared" si="1"/>
        <v>2.5</v>
      </c>
      <c r="AF7" s="1706">
        <f>(AF6+AF8)/2</f>
        <v>1.9925</v>
      </c>
      <c r="AG7" s="1705">
        <f>(AG8+AG6)/2</f>
        <v>3.134</v>
      </c>
      <c r="AH7" s="487" t="s">
        <v>88</v>
      </c>
      <c r="AI7" s="487"/>
      <c r="AJ7" s="487"/>
      <c r="AK7" s="487"/>
      <c r="AL7" s="487"/>
      <c r="AM7" s="487"/>
      <c r="AN7" s="344"/>
      <c r="AO7" s="344"/>
      <c r="AP7" s="2549"/>
      <c r="AQ7" s="192">
        <f>8*AR7/3.7854</f>
        <v>2.1133829978337824</v>
      </c>
      <c r="AR7" s="262">
        <v>1</v>
      </c>
      <c r="AS7" s="193">
        <f>AQ7*(5/6)</f>
        <v>1.7611524981948188</v>
      </c>
      <c r="AT7" s="201"/>
      <c r="AU7" s="4"/>
      <c r="AV7" s="190">
        <f>3.7854*AW7/8</f>
        <v>0.473175</v>
      </c>
      <c r="AW7" s="262">
        <v>1</v>
      </c>
      <c r="AX7" s="190">
        <f>AW7*(5/6)</f>
        <v>0.8333333333333334</v>
      </c>
      <c r="AY7" s="4"/>
      <c r="AZ7" s="4"/>
      <c r="BA7" s="4"/>
      <c r="BB7" s="190">
        <f>3.7854*BD7/8</f>
        <v>0.56781</v>
      </c>
      <c r="BC7" s="262">
        <v>1</v>
      </c>
      <c r="BD7" s="190">
        <f>BC7*(6/5)</f>
        <v>1.2</v>
      </c>
      <c r="BE7" s="109"/>
      <c r="BF7" s="4"/>
    </row>
    <row r="8" spans="1:58" ht="15" customHeight="1">
      <c r="A8" s="4"/>
      <c r="B8" s="2084"/>
      <c r="C8" s="2511" t="s">
        <v>275</v>
      </c>
      <c r="D8" s="2512"/>
      <c r="E8" s="355"/>
      <c r="F8" s="355"/>
      <c r="G8"/>
      <c r="H8" s="2513"/>
      <c r="I8" s="2513"/>
      <c r="J8" s="2513"/>
      <c r="K8" s="2513"/>
      <c r="L8" s="2513"/>
      <c r="M8" s="2513"/>
      <c r="N8" s="2513"/>
      <c r="O8" s="2513"/>
      <c r="P8" s="2513"/>
      <c r="Q8" s="2513"/>
      <c r="R8" s="2513"/>
      <c r="S8" s="2513"/>
      <c r="T8" s="2513"/>
      <c r="U8" s="2513"/>
      <c r="V8" s="201"/>
      <c r="W8" s="201"/>
      <c r="X8" s="201"/>
      <c r="Y8" s="201"/>
      <c r="Z8" s="201"/>
      <c r="AA8" s="201"/>
      <c r="AB8" s="344"/>
      <c r="AC8" s="1180">
        <f t="shared" si="0"/>
        <v>3</v>
      </c>
      <c r="AD8" s="1181">
        <v>1.55</v>
      </c>
      <c r="AE8" s="1702">
        <f t="shared" si="1"/>
        <v>3</v>
      </c>
      <c r="AF8" s="1706">
        <v>2.392</v>
      </c>
      <c r="AG8" s="1707">
        <v>3.758</v>
      </c>
      <c r="AH8" s="486"/>
      <c r="AI8" s="486"/>
      <c r="AJ8" s="177" t="s">
        <v>501</v>
      </c>
      <c r="AK8" s="491"/>
      <c r="AL8" s="178" t="s">
        <v>498</v>
      </c>
      <c r="AM8" s="492"/>
      <c r="AN8" s="344"/>
      <c r="AO8" s="203"/>
      <c r="AP8" s="201"/>
      <c r="AQ8" s="202"/>
      <c r="AR8" s="357"/>
      <c r="AS8" s="201"/>
      <c r="AT8" s="382"/>
      <c r="AU8" s="4"/>
      <c r="AV8" s="4"/>
      <c r="AW8" s="4"/>
      <c r="AX8" s="4"/>
      <c r="AY8" s="4"/>
      <c r="AZ8" s="4"/>
      <c r="BA8" s="4"/>
      <c r="BB8" s="4"/>
      <c r="BC8" s="4"/>
      <c r="BD8" s="4"/>
      <c r="BE8" s="109"/>
      <c r="BF8" s="4"/>
    </row>
    <row r="9" spans="1:58" ht="15" customHeight="1">
      <c r="A9" s="4"/>
      <c r="B9" s="2084" t="s">
        <v>292</v>
      </c>
      <c r="C9" s="509">
        <v>1800</v>
      </c>
      <c r="D9" s="489">
        <f aca="true" t="shared" si="2" ref="D9:D14">C9</f>
        <v>1800</v>
      </c>
      <c r="E9" s="355"/>
      <c r="F9" s="355"/>
      <c r="G9" s="151"/>
      <c r="H9" s="2513"/>
      <c r="I9" s="2513"/>
      <c r="J9" s="2513"/>
      <c r="K9" s="2513"/>
      <c r="L9" s="2513"/>
      <c r="M9" s="2513"/>
      <c r="N9" s="2513"/>
      <c r="O9" s="2513"/>
      <c r="P9" s="2513"/>
      <c r="Q9" s="2513"/>
      <c r="R9" s="2513"/>
      <c r="S9" s="2513"/>
      <c r="T9" s="2513"/>
      <c r="U9" s="2513"/>
      <c r="V9" s="201"/>
      <c r="W9" s="201"/>
      <c r="X9" s="201"/>
      <c r="Y9" s="201"/>
      <c r="Z9" s="201"/>
      <c r="AA9" s="201"/>
      <c r="AB9" s="344"/>
      <c r="AC9" s="1180">
        <f t="shared" si="0"/>
        <v>4</v>
      </c>
      <c r="AD9" s="1181">
        <v>1.473</v>
      </c>
      <c r="AE9" s="1702">
        <f t="shared" si="1"/>
        <v>3.5</v>
      </c>
      <c r="AF9" s="1706">
        <f>(AF8+AF10)/2</f>
        <v>2.793</v>
      </c>
      <c r="AG9" s="1705">
        <f>(AG10+AG8)/2</f>
        <v>4.38</v>
      </c>
      <c r="AH9" s="498" t="s">
        <v>502</v>
      </c>
      <c r="AI9" s="498" t="s">
        <v>89</v>
      </c>
      <c r="AJ9" s="499" t="s">
        <v>404</v>
      </c>
      <c r="AK9" s="491" t="s">
        <v>65</v>
      </c>
      <c r="AL9" s="500" t="s">
        <v>404</v>
      </c>
      <c r="AM9" s="492" t="s">
        <v>65</v>
      </c>
      <c r="AN9" s="203"/>
      <c r="AO9" s="203"/>
      <c r="AP9" s="201"/>
      <c r="AQ9" s="201"/>
      <c r="AR9" s="201"/>
      <c r="AS9" s="201"/>
      <c r="AT9" s="201"/>
      <c r="AU9" s="201"/>
      <c r="AV9" s="201"/>
      <c r="AW9" s="201"/>
      <c r="AX9" s="201"/>
      <c r="AY9" s="201"/>
      <c r="AZ9" s="201"/>
      <c r="BA9" s="4"/>
      <c r="BB9" s="201"/>
      <c r="BC9" s="4"/>
      <c r="BD9" s="4"/>
      <c r="BE9" s="109"/>
      <c r="BF9" s="4"/>
    </row>
    <row r="10" spans="1:58" ht="15" customHeight="1">
      <c r="A10" s="4"/>
      <c r="B10" s="2084" t="s">
        <v>293</v>
      </c>
      <c r="C10" s="509"/>
      <c r="D10" s="489">
        <f t="shared" si="2"/>
        <v>0</v>
      </c>
      <c r="E10" s="355"/>
      <c r="F10" s="355"/>
      <c r="G10" s="151"/>
      <c r="H10" s="2513"/>
      <c r="I10" s="2513"/>
      <c r="J10" s="2513"/>
      <c r="K10" s="2513"/>
      <c r="L10" s="2513"/>
      <c r="M10" s="2513"/>
      <c r="N10" s="2513"/>
      <c r="O10" s="2513"/>
      <c r="P10" s="2513"/>
      <c r="Q10" s="2513"/>
      <c r="R10" s="2513"/>
      <c r="S10" s="2513"/>
      <c r="T10" s="2513"/>
      <c r="U10" s="2513"/>
      <c r="V10" s="201"/>
      <c r="W10" s="201"/>
      <c r="X10" s="201"/>
      <c r="Y10" s="201"/>
      <c r="Z10" s="201"/>
      <c r="AA10" s="201"/>
      <c r="AB10" s="344"/>
      <c r="AC10" s="1187">
        <f t="shared" si="0"/>
        <v>5</v>
      </c>
      <c r="AD10" s="1181">
        <v>1.424</v>
      </c>
      <c r="AE10" s="1702">
        <f t="shared" si="1"/>
        <v>4</v>
      </c>
      <c r="AF10" s="1706">
        <v>3.194</v>
      </c>
      <c r="AG10" s="1707">
        <v>5.002</v>
      </c>
      <c r="AH10" s="501"/>
      <c r="AI10" s="501"/>
      <c r="AJ10" s="502"/>
      <c r="AK10" s="493" t="s">
        <v>504</v>
      </c>
      <c r="AL10" s="494"/>
      <c r="AM10" s="495" t="s">
        <v>505</v>
      </c>
      <c r="AN10" s="203"/>
      <c r="AO10" s="203"/>
      <c r="AP10" s="354" t="s">
        <v>263</v>
      </c>
      <c r="AQ10" s="194" t="s">
        <v>290</v>
      </c>
      <c r="AR10" s="194" t="s">
        <v>272</v>
      </c>
      <c r="AS10" s="194" t="s">
        <v>531</v>
      </c>
      <c r="AT10" s="381"/>
      <c r="AU10" s="4"/>
      <c r="AV10" s="1548" t="s">
        <v>24</v>
      </c>
      <c r="AW10" s="1549"/>
      <c r="AX10" s="1548" t="s">
        <v>113</v>
      </c>
      <c r="AY10" s="1549"/>
      <c r="AZ10" s="4"/>
      <c r="BA10" s="4"/>
      <c r="BB10" s="196" t="s">
        <v>105</v>
      </c>
      <c r="BC10" s="196" t="s">
        <v>272</v>
      </c>
      <c r="BD10" s="196" t="s">
        <v>290</v>
      </c>
      <c r="BE10" s="109"/>
      <c r="BF10" s="4"/>
    </row>
    <row r="11" spans="1:58" ht="15" customHeight="1">
      <c r="A11" s="4"/>
      <c r="B11" s="2084" t="s">
        <v>294</v>
      </c>
      <c r="C11" s="509"/>
      <c r="D11" s="489">
        <f t="shared" si="2"/>
        <v>0</v>
      </c>
      <c r="E11" s="355"/>
      <c r="F11" s="355"/>
      <c r="G11" s="151"/>
      <c r="H11" s="2513"/>
      <c r="I11" s="2513"/>
      <c r="J11" s="2513"/>
      <c r="K11" s="2513"/>
      <c r="L11" s="2513"/>
      <c r="M11" s="2513"/>
      <c r="N11" s="2513"/>
      <c r="O11" s="2513"/>
      <c r="P11" s="2513"/>
      <c r="Q11" s="2513"/>
      <c r="R11" s="2513"/>
      <c r="S11" s="2513"/>
      <c r="T11" s="2513"/>
      <c r="U11" s="2513"/>
      <c r="V11" s="201"/>
      <c r="W11" s="201"/>
      <c r="X11" s="201"/>
      <c r="Y11" s="201"/>
      <c r="Z11" s="201"/>
      <c r="AA11" s="201"/>
      <c r="AB11" s="344"/>
      <c r="AC11" s="1187">
        <f t="shared" si="0"/>
        <v>6</v>
      </c>
      <c r="AD11" s="1181">
        <v>1.377</v>
      </c>
      <c r="AE11" s="1702">
        <f t="shared" si="1"/>
        <v>4.5</v>
      </c>
      <c r="AF11" s="1706">
        <f>(AF10+AF12)/2</f>
        <v>3.596</v>
      </c>
      <c r="AG11" s="1705">
        <f>(AG12+AG10)/2</f>
        <v>5.6225000000000005</v>
      </c>
      <c r="AH11" s="503">
        <v>310</v>
      </c>
      <c r="AI11" s="503">
        <v>0.62</v>
      </c>
      <c r="AJ11" s="502">
        <f>0.001*AH11*C9</f>
        <v>558</v>
      </c>
      <c r="AK11" s="493">
        <f>AJ11*$AI11</f>
        <v>345.96</v>
      </c>
      <c r="AL11" s="494">
        <f>0.001*$AH11*D9</f>
        <v>558</v>
      </c>
      <c r="AM11" s="495">
        <f>AL11*$AI11</f>
        <v>345.96</v>
      </c>
      <c r="AN11" s="203"/>
      <c r="AO11" s="203"/>
      <c r="AP11" s="356" t="s">
        <v>274</v>
      </c>
      <c r="AQ11" s="1541">
        <f>1000*AR11*0.4536</f>
        <v>453.6</v>
      </c>
      <c r="AR11" s="1542">
        <v>1</v>
      </c>
      <c r="AS11" s="1543">
        <f>AR11/0.4536</f>
        <v>2.204585537918871</v>
      </c>
      <c r="AT11" s="381"/>
      <c r="AU11" s="4"/>
      <c r="AV11" s="259">
        <v>1</v>
      </c>
      <c r="AW11" s="260">
        <v>4</v>
      </c>
      <c r="AX11" s="196">
        <f>1000*(AV11+AW11/16)*0.4536</f>
        <v>567</v>
      </c>
      <c r="AY11" s="1546">
        <f>AX11/1000</f>
        <v>0.567</v>
      </c>
      <c r="BA11" s="4"/>
      <c r="BB11" s="195">
        <f>BC11/28.3495</f>
        <v>0.9876717402423324</v>
      </c>
      <c r="BC11" s="259">
        <v>28</v>
      </c>
      <c r="BD11" s="192">
        <f>BC11*28.3495</f>
        <v>793.786</v>
      </c>
      <c r="BE11" s="109"/>
      <c r="BF11" s="4"/>
    </row>
    <row r="12" spans="1:58" ht="15" customHeight="1">
      <c r="A12" s="4"/>
      <c r="B12" s="2085" t="s">
        <v>485</v>
      </c>
      <c r="C12" s="509">
        <v>1000</v>
      </c>
      <c r="D12" s="489">
        <f t="shared" si="2"/>
        <v>1000</v>
      </c>
      <c r="E12" s="355"/>
      <c r="F12" s="355"/>
      <c r="G12" s="409"/>
      <c r="H12" s="2513"/>
      <c r="I12" s="2513"/>
      <c r="J12" s="2513"/>
      <c r="K12" s="2513"/>
      <c r="L12" s="2513"/>
      <c r="M12" s="2513"/>
      <c r="N12" s="2513"/>
      <c r="O12" s="2513"/>
      <c r="P12" s="2513"/>
      <c r="Q12" s="2513"/>
      <c r="R12" s="2513"/>
      <c r="S12" s="2513"/>
      <c r="T12" s="2513"/>
      <c r="U12" s="2513"/>
      <c r="V12" s="201"/>
      <c r="W12" s="201"/>
      <c r="X12" s="201"/>
      <c r="Y12" s="201"/>
      <c r="Z12" s="201"/>
      <c r="AA12" s="201"/>
      <c r="AB12" s="344"/>
      <c r="AC12" s="1187">
        <f t="shared" si="0"/>
        <v>7</v>
      </c>
      <c r="AD12" s="1181">
        <v>1.331</v>
      </c>
      <c r="AE12" s="1707">
        <v>5</v>
      </c>
      <c r="AF12" s="1706">
        <v>3.998</v>
      </c>
      <c r="AG12" s="1707">
        <v>6.243</v>
      </c>
      <c r="AH12" s="503">
        <v>310</v>
      </c>
      <c r="AI12" s="503">
        <v>0.62</v>
      </c>
      <c r="AJ12" s="502">
        <f>0.001*AH12*C10</f>
        <v>0</v>
      </c>
      <c r="AK12" s="493">
        <f>AJ12*$AI12</f>
        <v>0</v>
      </c>
      <c r="AL12" s="494">
        <f>0.001*$AH12*D10</f>
        <v>0</v>
      </c>
      <c r="AM12" s="495">
        <f>AL12*$AI12</f>
        <v>0</v>
      </c>
      <c r="AN12" s="203"/>
      <c r="AO12" s="203"/>
      <c r="AP12" s="358"/>
      <c r="AQ12" s="108"/>
      <c r="AR12" s="4"/>
      <c r="AS12" s="4"/>
      <c r="AT12" s="201"/>
      <c r="AU12" s="4"/>
      <c r="AV12" s="4"/>
      <c r="AW12" s="4"/>
      <c r="AX12" s="111"/>
      <c r="AY12" s="111"/>
      <c r="AZ12" s="111"/>
      <c r="BA12" s="4"/>
      <c r="BB12" s="111"/>
      <c r="BC12" s="4"/>
      <c r="BD12" s="4"/>
      <c r="BE12" s="109"/>
      <c r="BF12" s="4"/>
    </row>
    <row r="13" spans="1:58" ht="15" customHeight="1">
      <c r="A13" s="4"/>
      <c r="B13" s="2084" t="str">
        <f>"Priming sugar g/l (1tsp = "&amp;AA13&amp;"g)"</f>
        <v>Priming sugar g/l (1tsp = 3.15g)</v>
      </c>
      <c r="C13" s="509">
        <v>3.15</v>
      </c>
      <c r="D13" s="489">
        <f t="shared" si="2"/>
        <v>3.15</v>
      </c>
      <c r="E13" s="2514" t="str">
        <f>" = "&amp;FIXED(C13/AA13)&amp;" / "&amp;FIXED(D13/AA13)&amp;" tsp"</f>
        <v> = 1.00 / 1.00 tsp</v>
      </c>
      <c r="F13" s="2514"/>
      <c r="G13" s="2514"/>
      <c r="H13" s="2506" t="s">
        <v>277</v>
      </c>
      <c r="I13" s="2507"/>
      <c r="J13" s="2507"/>
      <c r="K13" s="2507"/>
      <c r="L13" s="2507"/>
      <c r="M13" s="2507"/>
      <c r="N13" s="448"/>
      <c r="O13" s="355"/>
      <c r="P13" s="201"/>
      <c r="Q13" s="201"/>
      <c r="R13" s="201"/>
      <c r="S13" s="201"/>
      <c r="T13" s="201"/>
      <c r="U13" s="201"/>
      <c r="V13" s="201"/>
      <c r="W13" s="201"/>
      <c r="X13" s="344"/>
      <c r="Y13" s="2553" t="s">
        <v>939</v>
      </c>
      <c r="Z13" s="2553"/>
      <c r="AA13" s="1400">
        <v>3.15</v>
      </c>
      <c r="AB13" s="107" t="s">
        <v>290</v>
      </c>
      <c r="AC13" s="1187">
        <f t="shared" si="0"/>
        <v>8</v>
      </c>
      <c r="AD13" s="1181">
        <v>1.282</v>
      </c>
      <c r="AE13" s="1702">
        <f>AE12+0.5</f>
        <v>5.5</v>
      </c>
      <c r="AF13" s="1706">
        <f>(AF12+AF14)/2</f>
        <v>4.401</v>
      </c>
      <c r="AG13" s="1705">
        <f>(AG14+AG12)/2</f>
        <v>6.861000000000001</v>
      </c>
      <c r="AH13" s="503">
        <v>365</v>
      </c>
      <c r="AI13" s="503">
        <v>0.62</v>
      </c>
      <c r="AJ13" s="502">
        <f>0.001*AH13*C11</f>
        <v>0</v>
      </c>
      <c r="AK13" s="493">
        <f>AJ13*$AI13</f>
        <v>0</v>
      </c>
      <c r="AL13" s="494">
        <f>0.001*$AH13*D11</f>
        <v>0</v>
      </c>
      <c r="AM13" s="495">
        <f>AL13*$AI13</f>
        <v>0</v>
      </c>
      <c r="AN13" s="203"/>
      <c r="AO13" s="203"/>
      <c r="AP13" s="359"/>
      <c r="AQ13" s="196" t="s">
        <v>532</v>
      </c>
      <c r="AR13" s="196" t="s">
        <v>272</v>
      </c>
      <c r="AS13" s="196" t="s">
        <v>531</v>
      </c>
      <c r="AT13" s="201"/>
      <c r="AU13" s="4"/>
      <c r="AV13" s="334" t="s">
        <v>273</v>
      </c>
      <c r="AW13" s="1548" t="s">
        <v>25</v>
      </c>
      <c r="AX13" s="1550"/>
      <c r="AY13" s="1550"/>
      <c r="AZ13" s="1549"/>
      <c r="BA13" s="4"/>
      <c r="BB13" s="111"/>
      <c r="BC13" s="4"/>
      <c r="BD13" s="4"/>
      <c r="BE13" s="109"/>
      <c r="BF13" s="4"/>
    </row>
    <row r="14" spans="1:58" ht="15" customHeight="1">
      <c r="A14" s="4"/>
      <c r="B14" s="2216" t="s">
        <v>329</v>
      </c>
      <c r="C14" s="77">
        <v>20</v>
      </c>
      <c r="D14" s="489">
        <f t="shared" si="2"/>
        <v>20</v>
      </c>
      <c r="E14" s="2515" t="s">
        <v>957</v>
      </c>
      <c r="F14" s="2516"/>
      <c r="G14" s="355"/>
      <c r="H14" s="4"/>
      <c r="I14" s="4"/>
      <c r="J14" s="4"/>
      <c r="K14" s="4"/>
      <c r="L14" s="4"/>
      <c r="M14" s="4"/>
      <c r="O14" s="201"/>
      <c r="P14" s="201"/>
      <c r="Q14" s="201"/>
      <c r="R14" s="201"/>
      <c r="S14" s="201"/>
      <c r="T14" s="201"/>
      <c r="U14" s="201"/>
      <c r="V14" s="201"/>
      <c r="W14" s="201"/>
      <c r="X14" s="344"/>
      <c r="Y14" s="2554" t="s">
        <v>689</v>
      </c>
      <c r="Z14" s="2555"/>
      <c r="AA14" s="2556"/>
      <c r="AB14" s="1401"/>
      <c r="AC14" s="1187">
        <f t="shared" si="0"/>
        <v>9</v>
      </c>
      <c r="AD14" s="1181">
        <v>1.237</v>
      </c>
      <c r="AE14" s="1707">
        <v>6</v>
      </c>
      <c r="AF14" s="1706">
        <v>4.804</v>
      </c>
      <c r="AG14" s="1707">
        <v>7.479</v>
      </c>
      <c r="AH14" s="503">
        <v>375</v>
      </c>
      <c r="AI14" s="503">
        <v>1</v>
      </c>
      <c r="AJ14" s="502">
        <f>0.001*AH14*C12</f>
        <v>375</v>
      </c>
      <c r="AK14" s="493">
        <f>AJ14*$AI14</f>
        <v>375</v>
      </c>
      <c r="AL14" s="494">
        <f>0.001*$AH14*D12</f>
        <v>375</v>
      </c>
      <c r="AM14" s="495">
        <f>AL14*$AI14</f>
        <v>375</v>
      </c>
      <c r="AN14" s="203"/>
      <c r="AO14" s="203"/>
      <c r="AP14" s="358"/>
      <c r="AQ14" s="1543">
        <f>AR14*0.4536</f>
        <v>0.4536</v>
      </c>
      <c r="AR14" s="1542">
        <v>1</v>
      </c>
      <c r="AS14" s="1543">
        <f>AR14/0.4536</f>
        <v>2.204585537918871</v>
      </c>
      <c r="AT14" s="201"/>
      <c r="AU14" s="4"/>
      <c r="AV14" s="297">
        <v>2415</v>
      </c>
      <c r="AW14" s="226">
        <f>AV14/(1000*0.4536)</f>
        <v>5.3240740740740735</v>
      </c>
      <c r="AX14" s="226">
        <f>16*AW14</f>
        <v>85.18518518518518</v>
      </c>
      <c r="AY14" s="188">
        <f>INT(AX14/16)</f>
        <v>5</v>
      </c>
      <c r="AZ14" s="227">
        <f>AX14-16*AY14</f>
        <v>5.185185185185176</v>
      </c>
      <c r="BA14" s="4"/>
      <c r="BB14" s="111"/>
      <c r="BC14" s="4"/>
      <c r="BD14" s="4"/>
      <c r="BE14" s="109"/>
      <c r="BF14" s="4"/>
    </row>
    <row r="15" spans="1:58" ht="15" customHeight="1">
      <c r="A15" s="4"/>
      <c r="B15" s="2086" t="s">
        <v>91</v>
      </c>
      <c r="C15" s="517">
        <f>C13*$AD$2+VLOOKUP($C$14,$AC$5:$AD$35,2)</f>
        <v>1.4902631578947367</v>
      </c>
      <c r="D15" s="516">
        <f>D13*$AD$2+VLOOKUP($D$14,$AC$5:$AD$35,2)</f>
        <v>1.4902631578947367</v>
      </c>
      <c r="E15" s="451"/>
      <c r="F15" s="412"/>
      <c r="G15" s="355"/>
      <c r="H15" s="2465" t="s">
        <v>923</v>
      </c>
      <c r="I15" s="2465"/>
      <c r="J15" s="2465"/>
      <c r="K15" s="2465"/>
      <c r="L15" s="2465"/>
      <c r="M15" s="2465"/>
      <c r="N15" s="2465"/>
      <c r="O15" s="2465"/>
      <c r="P15" s="2465"/>
      <c r="Q15" s="2465"/>
      <c r="R15" s="2465"/>
      <c r="S15" s="2465"/>
      <c r="T15" s="2465"/>
      <c r="U15" s="2465"/>
      <c r="V15" s="201"/>
      <c r="W15" s="201"/>
      <c r="X15" s="201"/>
      <c r="Y15" s="1402" t="s">
        <v>106</v>
      </c>
      <c r="Z15" s="1402" t="s">
        <v>269</v>
      </c>
      <c r="AA15" s="1402" t="s">
        <v>270</v>
      </c>
      <c r="AB15" s="1401"/>
      <c r="AC15" s="1187">
        <f t="shared" si="0"/>
        <v>10</v>
      </c>
      <c r="AD15" s="1181">
        <v>1.194</v>
      </c>
      <c r="AE15" s="1702">
        <f>AE14+0.5</f>
        <v>6.5</v>
      </c>
      <c r="AF15" s="1706">
        <f>(AF14+AF16)/2</f>
        <v>5.208</v>
      </c>
      <c r="AG15" s="1705">
        <f>(AG16+AG14)/2</f>
        <v>8.0955</v>
      </c>
      <c r="AH15" s="504">
        <v>375</v>
      </c>
      <c r="AI15" s="504">
        <v>1</v>
      </c>
      <c r="AJ15" s="502">
        <f>0.001*AH15*C13*C7</f>
        <v>27.16875</v>
      </c>
      <c r="AK15" s="493">
        <f>AJ15*$AI15</f>
        <v>27.16875</v>
      </c>
      <c r="AL15" s="494">
        <f>0.001*$AH15*D13*D7</f>
        <v>27.16875</v>
      </c>
      <c r="AM15" s="493">
        <f>AL15*$AI15</f>
        <v>27.16875</v>
      </c>
      <c r="AN15" s="203"/>
      <c r="AO15" s="203"/>
      <c r="AP15" s="201"/>
      <c r="AQ15" s="4"/>
      <c r="AR15" s="4"/>
      <c r="AS15" s="4"/>
      <c r="AT15" s="201"/>
      <c r="AU15" s="4"/>
      <c r="AV15" s="4"/>
      <c r="AW15" s="4"/>
      <c r="AX15" s="4"/>
      <c r="AY15" s="4"/>
      <c r="AZ15" s="4"/>
      <c r="BA15" s="4"/>
      <c r="BB15" s="4"/>
      <c r="BC15" s="4"/>
      <c r="BD15" s="4"/>
      <c r="BE15" s="109"/>
      <c r="BF15" s="4"/>
    </row>
    <row r="16" spans="1:58" ht="15" customHeight="1">
      <c r="A16" s="4"/>
      <c r="B16" s="2085" t="s">
        <v>90</v>
      </c>
      <c r="C16" s="341">
        <v>76</v>
      </c>
      <c r="D16" s="366">
        <f>C16</f>
        <v>76</v>
      </c>
      <c r="E16" s="2517" t="s">
        <v>1008</v>
      </c>
      <c r="F16" s="2518"/>
      <c r="G16" s="355"/>
      <c r="H16" s="2465"/>
      <c r="I16" s="2465"/>
      <c r="J16" s="2465"/>
      <c r="K16" s="2465"/>
      <c r="L16" s="2465"/>
      <c r="M16" s="2465"/>
      <c r="N16" s="2465"/>
      <c r="O16" s="2465"/>
      <c r="P16" s="2465"/>
      <c r="Q16" s="2465"/>
      <c r="R16" s="2465"/>
      <c r="S16" s="2465"/>
      <c r="T16" s="2465"/>
      <c r="U16" s="2465"/>
      <c r="V16" s="201"/>
      <c r="W16" s="201"/>
      <c r="X16" s="201"/>
      <c r="Y16" s="1409">
        <v>0.25</v>
      </c>
      <c r="Z16" s="1403">
        <f aca="true" t="shared" si="3" ref="Z16:Z25">Y16*$AA$13</f>
        <v>0.7875</v>
      </c>
      <c r="AA16" s="1404">
        <f>Z16/28.3495</f>
        <v>0.027778267694315597</v>
      </c>
      <c r="AB16" s="1401"/>
      <c r="AC16" s="1187">
        <f t="shared" si="0"/>
        <v>11</v>
      </c>
      <c r="AD16" s="1181">
        <v>1.154</v>
      </c>
      <c r="AE16" s="1707">
        <v>7</v>
      </c>
      <c r="AF16" s="1706">
        <v>5.612</v>
      </c>
      <c r="AG16" s="1707">
        <v>8.712</v>
      </c>
      <c r="AH16" s="504"/>
      <c r="AI16" s="504"/>
      <c r="AJ16" s="502"/>
      <c r="AK16" s="493"/>
      <c r="AL16" s="494"/>
      <c r="AM16" s="495"/>
      <c r="AN16" s="109"/>
      <c r="AO16" s="344"/>
      <c r="AP16" s="201"/>
      <c r="AQ16" s="4"/>
      <c r="AR16" s="4"/>
      <c r="AS16" s="4"/>
      <c r="AT16" s="201"/>
      <c r="AU16" s="4"/>
      <c r="AV16" s="4"/>
      <c r="AW16" s="4"/>
      <c r="AX16" s="4"/>
      <c r="AY16" s="4"/>
      <c r="AZ16" s="4"/>
      <c r="BA16" s="4"/>
      <c r="BB16" s="4"/>
      <c r="BC16" s="4"/>
      <c r="BD16" s="4"/>
      <c r="BE16" s="109"/>
      <c r="BF16" s="4"/>
    </row>
    <row r="17" spans="1:58" ht="15" customHeight="1">
      <c r="A17" s="4"/>
      <c r="B17" s="2084" t="s">
        <v>508</v>
      </c>
      <c r="C17" s="77">
        <v>24</v>
      </c>
      <c r="D17" s="179">
        <f>C17*C7/D7</f>
        <v>24</v>
      </c>
      <c r="E17" s="452"/>
      <c r="F17" s="453"/>
      <c r="G17" s="355"/>
      <c r="H17" s="454"/>
      <c r="I17" s="454"/>
      <c r="J17" s="454"/>
      <c r="K17" s="454"/>
      <c r="L17" s="454"/>
      <c r="M17" s="454"/>
      <c r="N17" s="454"/>
      <c r="O17" s="454"/>
      <c r="P17" s="454"/>
      <c r="Q17" s="454"/>
      <c r="R17" s="454"/>
      <c r="S17" s="454"/>
      <c r="T17" s="454"/>
      <c r="U17" s="454"/>
      <c r="V17" s="201"/>
      <c r="W17" s="201"/>
      <c r="X17" s="201"/>
      <c r="Y17" s="1409">
        <f aca="true" t="shared" si="4" ref="Y17:Y25">Y16+0.25</f>
        <v>0.5</v>
      </c>
      <c r="Z17" s="1403">
        <f t="shared" si="3"/>
        <v>1.575</v>
      </c>
      <c r="AA17" s="1404">
        <f aca="true" t="shared" si="5" ref="AA17:AA37">Z17/28.3495</f>
        <v>0.055556535388631194</v>
      </c>
      <c r="AB17" s="1401"/>
      <c r="AC17" s="1187">
        <f t="shared" si="0"/>
        <v>12</v>
      </c>
      <c r="AD17" s="1181">
        <v>1.117</v>
      </c>
      <c r="AE17" s="1702">
        <f>AE16+0.5</f>
        <v>7.5</v>
      </c>
      <c r="AF17" s="1706">
        <f>(AF16+AF18)/2</f>
        <v>6.0169999999999995</v>
      </c>
      <c r="AG17" s="1705">
        <f>(AG18+AG16)/2</f>
        <v>9.3275</v>
      </c>
      <c r="AH17" s="504" t="s">
        <v>384</v>
      </c>
      <c r="AI17" s="504">
        <f>C16/62</f>
        <v>1.2258064516129032</v>
      </c>
      <c r="AJ17" s="505" t="s">
        <v>384</v>
      </c>
      <c r="AK17" s="496">
        <f>C16/62</f>
        <v>1.2258064516129032</v>
      </c>
      <c r="AL17" s="506" t="s">
        <v>384</v>
      </c>
      <c r="AM17" s="497">
        <f>D16/62</f>
        <v>1.2258064516129032</v>
      </c>
      <c r="AN17" s="109"/>
      <c r="AO17" s="344"/>
      <c r="AP17" s="1303" t="s">
        <v>671</v>
      </c>
      <c r="AQ17" s="1304" t="s">
        <v>393</v>
      </c>
      <c r="AR17" s="1304" t="s">
        <v>672</v>
      </c>
      <c r="AS17" s="1304" t="s">
        <v>673</v>
      </c>
      <c r="AT17" s="1537"/>
      <c r="AU17" s="1538"/>
      <c r="AV17" s="1304" t="s">
        <v>392</v>
      </c>
      <c r="AW17" s="1304" t="s">
        <v>672</v>
      </c>
      <c r="AX17" s="196" t="s">
        <v>120</v>
      </c>
      <c r="AY17" s="4"/>
      <c r="AZ17" s="4"/>
      <c r="BA17" s="4"/>
      <c r="BB17" s="1555" t="s">
        <v>101</v>
      </c>
      <c r="BC17" s="1551" t="s">
        <v>99</v>
      </c>
      <c r="BD17" s="1555" t="s">
        <v>306</v>
      </c>
      <c r="BE17" s="109"/>
      <c r="BF17" s="4"/>
    </row>
    <row r="18" spans="1:58" ht="15" customHeight="1">
      <c r="A18" s="4"/>
      <c r="B18" s="2084" t="s">
        <v>509</v>
      </c>
      <c r="C18" s="77">
        <v>33</v>
      </c>
      <c r="D18" s="179">
        <f>C18*C7/D7</f>
        <v>33</v>
      </c>
      <c r="E18" s="355"/>
      <c r="F18" s="355"/>
      <c r="G18" s="355"/>
      <c r="H18" s="454"/>
      <c r="I18" s="454"/>
      <c r="J18" s="454"/>
      <c r="K18" s="454"/>
      <c r="L18" s="454"/>
      <c r="M18" s="454"/>
      <c r="N18" s="454"/>
      <c r="O18" s="454"/>
      <c r="P18" s="454"/>
      <c r="Q18" s="454"/>
      <c r="R18" s="454"/>
      <c r="S18" s="454"/>
      <c r="T18" s="454"/>
      <c r="U18" s="454"/>
      <c r="V18" s="201"/>
      <c r="W18" s="201"/>
      <c r="X18" s="201"/>
      <c r="Y18" s="1409">
        <f t="shared" si="4"/>
        <v>0.75</v>
      </c>
      <c r="Z18" s="1403">
        <f t="shared" si="3"/>
        <v>2.3625</v>
      </c>
      <c r="AA18" s="1404">
        <f t="shared" si="5"/>
        <v>0.08333480308294679</v>
      </c>
      <c r="AB18" s="1401"/>
      <c r="AC18" s="1187">
        <f t="shared" si="0"/>
        <v>13</v>
      </c>
      <c r="AD18" s="1181">
        <v>1.083</v>
      </c>
      <c r="AE18" s="1707">
        <v>8</v>
      </c>
      <c r="AF18" s="1706">
        <v>6.422</v>
      </c>
      <c r="AG18" s="1707">
        <v>9.943</v>
      </c>
      <c r="AH18" s="507"/>
      <c r="AI18" s="493"/>
      <c r="AJ18" s="511" t="s">
        <v>108</v>
      </c>
      <c r="AK18" s="514">
        <f>SUM(AK11:AK13)/(C7)</f>
        <v>15.041739130434781</v>
      </c>
      <c r="AL18" s="495" t="s">
        <v>150</v>
      </c>
      <c r="AM18" s="514">
        <f>SUM(AM11:AM13)/(D7)</f>
        <v>15.041739130434781</v>
      </c>
      <c r="AN18" s="109"/>
      <c r="AO18" s="344"/>
      <c r="AP18" s="4"/>
      <c r="AQ18" s="195">
        <f>AR18*10.022413122466</f>
        <v>10.022413122466</v>
      </c>
      <c r="AR18" s="1433">
        <v>1</v>
      </c>
      <c r="AS18" s="195">
        <f>AR18*0.09977637</f>
        <v>0.09977637</v>
      </c>
      <c r="AT18" s="1537"/>
      <c r="AU18" s="1538"/>
      <c r="AV18" s="195">
        <f>AW18*0.02004</f>
        <v>0.02004</v>
      </c>
      <c r="AW18" s="1576">
        <v>1</v>
      </c>
      <c r="AX18" s="195">
        <f>AW18/0.02004</f>
        <v>49.90019960079841</v>
      </c>
      <c r="AY18" s="4"/>
      <c r="AZ18" s="4"/>
      <c r="BA18" s="4"/>
      <c r="BB18" s="1556">
        <f>BC18/28.41306</f>
        <v>13.479716721817361</v>
      </c>
      <c r="BC18" s="1577">
        <v>383</v>
      </c>
      <c r="BD18" s="1754">
        <f>BC18*28.41306</f>
        <v>10882.20198</v>
      </c>
      <c r="BE18" s="109"/>
      <c r="BF18" s="4"/>
    </row>
    <row r="19" spans="1:58" ht="15" customHeight="1">
      <c r="A19" s="4"/>
      <c r="B19" s="2087" t="s">
        <v>740</v>
      </c>
      <c r="C19" s="1484"/>
      <c r="D19" s="1485">
        <f>C19</f>
        <v>0</v>
      </c>
      <c r="E19" s="2520" t="str">
        <f>" = "&amp;FIXED(C19/5)&amp;" / "&amp;FIXED(D19/5)&amp;" tsp"</f>
        <v> = 0.00 / 0.00 tsp</v>
      </c>
      <c r="F19" s="2521"/>
      <c r="G19" s="2521"/>
      <c r="H19" s="2523" t="s">
        <v>932</v>
      </c>
      <c r="I19" s="2523"/>
      <c r="J19" s="2523"/>
      <c r="K19" s="1501">
        <v>1</v>
      </c>
      <c r="L19" s="2272" t="s">
        <v>933</v>
      </c>
      <c r="M19" s="2272"/>
      <c r="N19" s="2272"/>
      <c r="O19" s="1501">
        <v>1</v>
      </c>
      <c r="P19" s="2272" t="s">
        <v>934</v>
      </c>
      <c r="Q19" s="2272"/>
      <c r="R19" s="1501">
        <v>69</v>
      </c>
      <c r="S19" s="1562" t="s">
        <v>413</v>
      </c>
      <c r="T19" s="1500"/>
      <c r="U19" s="1500"/>
      <c r="V19" s="201"/>
      <c r="W19" s="201"/>
      <c r="X19" s="201"/>
      <c r="Y19" s="1409">
        <f t="shared" si="4"/>
        <v>1</v>
      </c>
      <c r="Z19" s="1403">
        <f t="shared" si="3"/>
        <v>3.15</v>
      </c>
      <c r="AA19" s="1404">
        <f t="shared" si="5"/>
        <v>0.11111307077726239</v>
      </c>
      <c r="AB19" s="1401"/>
      <c r="AC19" s="1401"/>
      <c r="AD19" s="1401"/>
      <c r="AE19" s="1401"/>
      <c r="AF19" s="1401"/>
      <c r="AG19" s="1401"/>
      <c r="AH19" s="1401"/>
      <c r="AI19" s="1401"/>
      <c r="AJ19" s="1401"/>
      <c r="AK19" s="1401"/>
      <c r="AL19" s="1401"/>
      <c r="AM19" s="1401"/>
      <c r="AN19" s="1401"/>
      <c r="AO19" s="1401"/>
      <c r="AP19" s="1401"/>
      <c r="AQ19" s="1401"/>
      <c r="AR19" s="1401"/>
      <c r="AS19" s="1401"/>
      <c r="AT19" s="1401"/>
      <c r="AU19" s="1401"/>
      <c r="AV19" s="1401"/>
      <c r="AW19" s="1401"/>
      <c r="AX19" s="1401"/>
      <c r="AY19" s="1401"/>
      <c r="AZ19" s="1401"/>
      <c r="BA19" s="1401"/>
      <c r="BB19" s="1401"/>
      <c r="BC19" s="1401"/>
      <c r="BD19" s="1401"/>
      <c r="BE19" s="1401"/>
      <c r="BF19" s="1401"/>
    </row>
    <row r="20" spans="1:58" ht="15" customHeight="1">
      <c r="A20" s="4"/>
      <c r="B20" s="2087" t="s">
        <v>741</v>
      </c>
      <c r="C20" s="1503">
        <f>C19*R19*O19/(K19*C7)</f>
        <v>0</v>
      </c>
      <c r="D20" s="1502">
        <f>D19*R19*O19/(K19*D7)</f>
        <v>0</v>
      </c>
      <c r="E20" s="355"/>
      <c r="F20" s="355"/>
      <c r="G20" s="355"/>
      <c r="H20" s="1500"/>
      <c r="I20" s="1500"/>
      <c r="J20" s="2524" t="s">
        <v>1614</v>
      </c>
      <c r="K20" s="2524"/>
      <c r="L20" s="2524"/>
      <c r="M20" s="2524"/>
      <c r="N20" s="2524"/>
      <c r="O20" s="2524"/>
      <c r="P20" s="2524"/>
      <c r="Q20" s="2524"/>
      <c r="R20" s="2524"/>
      <c r="S20" s="2524"/>
      <c r="T20" s="2524"/>
      <c r="U20" s="2524"/>
      <c r="V20" s="201"/>
      <c r="W20" s="201"/>
      <c r="X20" s="201"/>
      <c r="Y20" s="1409">
        <f>Y19+0.25</f>
        <v>1.25</v>
      </c>
      <c r="Z20" s="1403">
        <f t="shared" si="3"/>
        <v>3.9375</v>
      </c>
      <c r="AA20" s="1404">
        <f t="shared" si="5"/>
        <v>0.13889133847157797</v>
      </c>
      <c r="AB20" s="1401"/>
      <c r="AC20" s="1187">
        <f t="shared" si="0"/>
        <v>1</v>
      </c>
      <c r="AD20" s="1181">
        <v>1.019</v>
      </c>
      <c r="AE20" s="1707">
        <v>9</v>
      </c>
      <c r="AF20" s="1706">
        <v>7.234</v>
      </c>
      <c r="AG20" s="1707">
        <v>11.169</v>
      </c>
      <c r="AH20"/>
      <c r="AI20"/>
      <c r="AJ20" s="511"/>
      <c r="AK20" s="525"/>
      <c r="AL20" s="511"/>
      <c r="AM20" s="525"/>
      <c r="AN20" s="109"/>
      <c r="AO20" s="344"/>
      <c r="AP20" s="4"/>
      <c r="AQ20" s="1304" t="s">
        <v>394</v>
      </c>
      <c r="AR20" s="1304" t="s">
        <v>672</v>
      </c>
      <c r="AS20" s="1304" t="s">
        <v>673</v>
      </c>
      <c r="AT20" s="199"/>
      <c r="AU20" s="199"/>
      <c r="AV20" s="1304" t="s">
        <v>391</v>
      </c>
      <c r="AW20" s="1304" t="s">
        <v>672</v>
      </c>
      <c r="AX20" s="196" t="s">
        <v>120</v>
      </c>
      <c r="AY20" s="4"/>
      <c r="AZ20" s="4"/>
      <c r="BA20" s="4"/>
      <c r="BB20" s="1557" t="s">
        <v>100</v>
      </c>
      <c r="BC20" s="1554" t="s">
        <v>99</v>
      </c>
      <c r="BD20" s="1557" t="s">
        <v>306</v>
      </c>
      <c r="BE20" s="109"/>
      <c r="BF20" s="4"/>
    </row>
    <row r="21" spans="1:58" ht="15" customHeight="1">
      <c r="A21" s="4"/>
      <c r="B21" s="2087" t="s">
        <v>743</v>
      </c>
      <c r="C21" s="1415">
        <f>C18+C20</f>
        <v>33</v>
      </c>
      <c r="D21" s="1415">
        <f>D18+D20</f>
        <v>33</v>
      </c>
      <c r="E21" s="355"/>
      <c r="F21" s="355"/>
      <c r="G21" s="355"/>
      <c r="H21" s="1500"/>
      <c r="I21" s="1500"/>
      <c r="J21" s="1500"/>
      <c r="K21" s="1500"/>
      <c r="L21" s="1500"/>
      <c r="M21" s="1500"/>
      <c r="N21" s="1500"/>
      <c r="O21" s="1500"/>
      <c r="P21" s="1500"/>
      <c r="Q21" s="1500"/>
      <c r="R21" s="1500"/>
      <c r="S21" s="1500"/>
      <c r="T21" s="1500"/>
      <c r="U21" s="1500"/>
      <c r="V21" s="201"/>
      <c r="W21" s="201"/>
      <c r="X21" s="201"/>
      <c r="Y21" s="1409">
        <f>Y20+0.25</f>
        <v>1.5</v>
      </c>
      <c r="Z21" s="1403">
        <f t="shared" si="3"/>
        <v>4.725</v>
      </c>
      <c r="AA21" s="1404">
        <f t="shared" si="5"/>
        <v>0.16666960616589357</v>
      </c>
      <c r="AB21" s="1401"/>
      <c r="AC21" s="1187">
        <f t="shared" si="0"/>
        <v>2</v>
      </c>
      <c r="AD21" s="1181">
        <v>0.985</v>
      </c>
      <c r="AE21" s="1702">
        <f>AE20+0.5</f>
        <v>9.5</v>
      </c>
      <c r="AF21" s="1706">
        <f>(AF20+AF22)/2</f>
        <v>3.617</v>
      </c>
      <c r="AG21" s="1705">
        <f>(AG22+AG20)/2</f>
        <v>5.5845</v>
      </c>
      <c r="AH21"/>
      <c r="AI21"/>
      <c r="AJ21" s="511"/>
      <c r="AK21" s="525"/>
      <c r="AL21" s="511"/>
      <c r="AM21" s="525"/>
      <c r="AN21" s="109"/>
      <c r="AO21" s="344"/>
      <c r="AP21" s="4"/>
      <c r="AQ21" s="195">
        <f>AR21*8.3454063545262</f>
        <v>8.3454063545262</v>
      </c>
      <c r="AR21" s="1433">
        <v>1</v>
      </c>
      <c r="AS21" s="195">
        <f>AR21*0.1198264</f>
        <v>0.1198264</v>
      </c>
      <c r="AT21" s="199"/>
      <c r="AU21" s="199"/>
      <c r="AV21" s="195">
        <f>AW21*0.016691</f>
        <v>0.016691</v>
      </c>
      <c r="AW21" s="1576">
        <v>1</v>
      </c>
      <c r="AX21" s="195">
        <f>AW21/0.016691</f>
        <v>59.912527709544065</v>
      </c>
      <c r="AY21" s="4"/>
      <c r="AZ21" s="4"/>
      <c r="BA21" s="4"/>
      <c r="BB21" s="1556">
        <f>BC21/29.57353</f>
        <v>12.950770503216896</v>
      </c>
      <c r="BC21" s="1577">
        <v>383</v>
      </c>
      <c r="BD21" s="1754">
        <f>BC21*29.57353</f>
        <v>11326.66199</v>
      </c>
      <c r="BE21" s="109"/>
      <c r="BF21" s="4"/>
    </row>
    <row r="22" spans="1:58" ht="15" customHeight="1">
      <c r="A22" s="4"/>
      <c r="B22" s="2085" t="s">
        <v>151</v>
      </c>
      <c r="C22" s="1411">
        <f>1000+AK24</f>
        <v>1041.7464673913043</v>
      </c>
      <c r="D22" s="1412">
        <f>1000+AM24</f>
        <v>1041.7464673913043</v>
      </c>
      <c r="E22" s="355"/>
      <c r="F22" s="355"/>
      <c r="G22" s="355"/>
      <c r="H22" s="2522" t="s">
        <v>924</v>
      </c>
      <c r="I22" s="2522"/>
      <c r="J22" s="2522"/>
      <c r="K22" s="2522"/>
      <c r="L22" s="2522"/>
      <c r="M22" s="2522"/>
      <c r="N22" s="2522"/>
      <c r="O22" s="2522"/>
      <c r="P22" s="2522"/>
      <c r="Q22" s="2522"/>
      <c r="R22" s="2522"/>
      <c r="S22" s="2522"/>
      <c r="T22" s="2522"/>
      <c r="U22" s="1500"/>
      <c r="V22" s="201"/>
      <c r="W22" s="201"/>
      <c r="X22" s="201"/>
      <c r="Y22" s="1409">
        <f>Y21+0.25</f>
        <v>1.75</v>
      </c>
      <c r="Z22" s="1403">
        <f t="shared" si="3"/>
        <v>5.5125</v>
      </c>
      <c r="AA22" s="1404">
        <f t="shared" si="5"/>
        <v>0.19444787386020917</v>
      </c>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row>
    <row r="23" spans="1:58" ht="15" customHeight="1">
      <c r="A23" s="4"/>
      <c r="B23" s="2085" t="s">
        <v>152</v>
      </c>
      <c r="C23" s="1411">
        <f>1000+AK27</f>
        <v>1023.3082065217392</v>
      </c>
      <c r="D23" s="1412">
        <f>1000+AM27</f>
        <v>1023.3082065217392</v>
      </c>
      <c r="E23" s="355"/>
      <c r="F23" s="355"/>
      <c r="G23" s="355"/>
      <c r="H23" s="2522" t="s">
        <v>930</v>
      </c>
      <c r="I23" s="2522"/>
      <c r="J23" s="2522"/>
      <c r="K23" s="2522"/>
      <c r="L23" s="2522"/>
      <c r="M23" s="2522"/>
      <c r="N23" s="2522"/>
      <c r="O23" s="2522"/>
      <c r="P23" s="2522"/>
      <c r="Q23" s="2522"/>
      <c r="R23" s="2522"/>
      <c r="S23" s="2522"/>
      <c r="T23" s="2522"/>
      <c r="U23" s="201"/>
      <c r="V23" s="201"/>
      <c r="W23" s="201"/>
      <c r="X23" s="201"/>
      <c r="Y23" s="1409">
        <f>Y22+0.25</f>
        <v>2</v>
      </c>
      <c r="Z23" s="1403">
        <f t="shared" si="3"/>
        <v>6.3</v>
      </c>
      <c r="AA23" s="1404">
        <f t="shared" si="5"/>
        <v>0.22222614155452478</v>
      </c>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row>
    <row r="24" spans="1:58" ht="15" customHeight="1">
      <c r="A24" s="4"/>
      <c r="B24" s="2088" t="s">
        <v>149</v>
      </c>
      <c r="C24" s="1413">
        <f>(C22-C23)/(7.75-(3*(C22-1000)/800))</f>
        <v>2.4281794250345907</v>
      </c>
      <c r="D24" s="1414">
        <f>(D22-D23)/(7.75-(3*(D22-1000)/800))</f>
        <v>2.4281794250345907</v>
      </c>
      <c r="E24" s="355"/>
      <c r="F24" s="355"/>
      <c r="G24" s="355"/>
      <c r="H24" s="2519" t="s">
        <v>931</v>
      </c>
      <c r="I24" s="2519"/>
      <c r="J24" s="2519"/>
      <c r="K24" s="2519"/>
      <c r="L24" s="2519"/>
      <c r="M24" s="2519"/>
      <c r="N24" s="2519"/>
      <c r="O24" s="2519"/>
      <c r="P24" s="2519"/>
      <c r="Q24" s="2519"/>
      <c r="R24" s="2519"/>
      <c r="S24" s="2519"/>
      <c r="T24" s="2519"/>
      <c r="U24" s="201"/>
      <c r="V24" s="201"/>
      <c r="W24" s="201"/>
      <c r="X24" s="201"/>
      <c r="Y24" s="1409">
        <f>Y23+0.25</f>
        <v>2.25</v>
      </c>
      <c r="Z24" s="1403">
        <f t="shared" si="3"/>
        <v>7.0874999999999995</v>
      </c>
      <c r="AA24" s="1404">
        <f t="shared" si="5"/>
        <v>0.2500044092488404</v>
      </c>
      <c r="AB24" s="1401"/>
      <c r="AC24" s="1187">
        <f t="shared" si="0"/>
        <v>1</v>
      </c>
      <c r="AD24" s="1181">
        <v>0.902</v>
      </c>
      <c r="AE24" s="1707">
        <v>11</v>
      </c>
      <c r="AF24" s="1706">
        <v>8.862</v>
      </c>
      <c r="AG24" s="1707">
        <v>13.613</v>
      </c>
      <c r="AH24"/>
      <c r="AI24"/>
      <c r="AJ24" s="383" t="s">
        <v>151</v>
      </c>
      <c r="AK24" s="471">
        <f>(SUM(AJ11:AJ15))/C7</f>
        <v>41.74646739130435</v>
      </c>
      <c r="AL24" s="65" t="s">
        <v>453</v>
      </c>
      <c r="AM24" s="471">
        <f>(SUM(AL11:AL15))/D7</f>
        <v>41.74646739130435</v>
      </c>
      <c r="AN24" s="109"/>
      <c r="AO24" s="344"/>
      <c r="AP24" s="1305" t="s">
        <v>496</v>
      </c>
      <c r="AQ24" s="556" t="s">
        <v>497</v>
      </c>
      <c r="AR24" s="112" t="s">
        <v>498</v>
      </c>
      <c r="AS24" s="242"/>
      <c r="AT24" s="242"/>
      <c r="AU24" s="242"/>
      <c r="AV24" s="242"/>
      <c r="AW24" s="320"/>
      <c r="AX24" s="2077"/>
      <c r="AY24" s="2370" t="s">
        <v>324</v>
      </c>
      <c r="AZ24" s="2370"/>
      <c r="BA24" s="2371"/>
      <c r="BB24" s="1306" t="s">
        <v>359</v>
      </c>
      <c r="BC24" s="1306" t="s">
        <v>361</v>
      </c>
      <c r="BD24" s="1306" t="s">
        <v>572</v>
      </c>
      <c r="BE24" s="109"/>
      <c r="BF24" s="4"/>
    </row>
    <row r="25" spans="1:58" ht="15" customHeight="1">
      <c r="A25" s="4"/>
      <c r="B25" s="153"/>
      <c r="C25" s="153"/>
      <c r="D25" s="153"/>
      <c r="E25" s="118"/>
      <c r="F25" s="201"/>
      <c r="G25" s="201"/>
      <c r="H25" s="201"/>
      <c r="I25" s="201"/>
      <c r="J25" s="201"/>
      <c r="K25" s="201"/>
      <c r="L25" s="201"/>
      <c r="M25" s="201"/>
      <c r="N25" s="201"/>
      <c r="O25" s="201"/>
      <c r="P25" s="201"/>
      <c r="Q25" s="201"/>
      <c r="R25" s="201"/>
      <c r="S25" s="201"/>
      <c r="T25" s="201"/>
      <c r="U25" s="201"/>
      <c r="V25" s="201"/>
      <c r="W25" s="201"/>
      <c r="X25" s="201"/>
      <c r="Y25" s="1409">
        <f t="shared" si="4"/>
        <v>2.5</v>
      </c>
      <c r="Z25" s="1403">
        <f t="shared" si="3"/>
        <v>7.875</v>
      </c>
      <c r="AA25" s="1404">
        <f t="shared" si="5"/>
        <v>0.27778267694315595</v>
      </c>
      <c r="AB25" s="1401"/>
      <c r="AC25" s="1187">
        <f t="shared" si="0"/>
        <v>2</v>
      </c>
      <c r="AD25" s="1181">
        <v>0.878</v>
      </c>
      <c r="AE25" s="1702">
        <f>AE24+0.5</f>
        <v>11.5</v>
      </c>
      <c r="AF25" s="1706">
        <f>(AF24+AF26)/2</f>
        <v>9.2705</v>
      </c>
      <c r="AG25" s="1705">
        <f>(AG26+AG24)/2</f>
        <v>14.2225</v>
      </c>
      <c r="AH25"/>
      <c r="AI25"/>
      <c r="AJ25" s="223" t="s">
        <v>143</v>
      </c>
      <c r="AK25" s="476">
        <f>SUM(AJ11:AJ14)/C7</f>
        <v>40.56521739130435</v>
      </c>
      <c r="AL25" s="65" t="s">
        <v>453</v>
      </c>
      <c r="AM25" s="476">
        <f>SUM(AL11:AL14)/D7</f>
        <v>40.56521739130435</v>
      </c>
      <c r="AN25" s="109"/>
      <c r="AO25" s="344"/>
      <c r="AP25" s="110" t="s">
        <v>674</v>
      </c>
      <c r="AQ25" s="1307">
        <v>5</v>
      </c>
      <c r="AR25" s="1307">
        <v>5.3</v>
      </c>
      <c r="AS25" s="385" t="s">
        <v>675</v>
      </c>
      <c r="AT25" s="242"/>
      <c r="AU25" s="242"/>
      <c r="AV25" s="242"/>
      <c r="AW25" s="110"/>
      <c r="AX25" s="242"/>
      <c r="AY25" s="242"/>
      <c r="AZ25" s="242"/>
      <c r="BA25" s="4"/>
      <c r="BB25" s="1308">
        <f>((BC25+40)*5/9)-40</f>
        <v>20.555555555555557</v>
      </c>
      <c r="BC25" s="1309">
        <v>69</v>
      </c>
      <c r="BD25" s="1306">
        <f>((BC25+40)*9/5)-40</f>
        <v>156.2</v>
      </c>
      <c r="BE25" s="109"/>
      <c r="BF25" s="4"/>
    </row>
    <row r="26" spans="1:58" ht="15" customHeight="1">
      <c r="A26" s="4"/>
      <c r="B26" s="2492" t="s">
        <v>33</v>
      </c>
      <c r="C26" s="2493"/>
      <c r="D26" s="2493"/>
      <c r="E26" s="2466"/>
      <c r="F26" s="360"/>
      <c r="G26" s="360"/>
      <c r="H26" s="201"/>
      <c r="I26" s="201"/>
      <c r="J26" s="151"/>
      <c r="K26" s="353"/>
      <c r="L26" s="173"/>
      <c r="M26" s="174"/>
      <c r="N26" s="175"/>
      <c r="O26" s="201"/>
      <c r="P26" s="201"/>
      <c r="Q26" s="201"/>
      <c r="R26" s="201"/>
      <c r="S26" s="201"/>
      <c r="T26" s="201"/>
      <c r="U26" s="201"/>
      <c r="V26" s="201"/>
      <c r="W26" s="201"/>
      <c r="X26" s="201"/>
      <c r="Y26" s="1409">
        <f>Y25+0.25</f>
        <v>2.75</v>
      </c>
      <c r="Z26" s="1403">
        <f aca="true" t="shared" si="6" ref="Z26:Z37">Y26*$AA$13</f>
        <v>8.6625</v>
      </c>
      <c r="AA26" s="1404">
        <f t="shared" si="5"/>
        <v>0.3055609446374716</v>
      </c>
      <c r="AB26" s="1401"/>
      <c r="AC26" s="1187">
        <f t="shared" si="0"/>
        <v>3</v>
      </c>
      <c r="AD26" s="1181">
        <v>0.854</v>
      </c>
      <c r="AE26" s="1707">
        <v>12</v>
      </c>
      <c r="AF26" s="1706">
        <v>9.679</v>
      </c>
      <c r="AG26" s="1707">
        <v>14.832</v>
      </c>
      <c r="AH26"/>
      <c r="AI26"/>
      <c r="AJ26" s="223" t="s">
        <v>148</v>
      </c>
      <c r="AK26" s="513">
        <f>(AK24-(0.375*C13*C7)/C7-AK17*AK18-AK22)</f>
        <v>22.126956521739135</v>
      </c>
      <c r="AL26" s="65" t="s">
        <v>455</v>
      </c>
      <c r="AM26" s="513">
        <f>(AM24-(0.375*D13*D7)/D7-AM17*AM18-AM22)</f>
        <v>22.126956521739135</v>
      </c>
      <c r="AN26" s="109"/>
      <c r="AO26" s="344"/>
      <c r="AP26" s="110" t="s">
        <v>676</v>
      </c>
      <c r="AQ26" s="1307">
        <v>34</v>
      </c>
      <c r="AR26" s="1310">
        <f>(AQ26*AQ25)/AR25</f>
        <v>32.07547169811321</v>
      </c>
      <c r="AS26" s="385" t="s">
        <v>677</v>
      </c>
      <c r="AT26" s="242"/>
      <c r="AU26" s="242"/>
      <c r="AV26" s="107"/>
      <c r="AW26" s="242"/>
      <c r="AX26" s="109"/>
      <c r="AY26" s="109"/>
      <c r="AZ26" s="109"/>
      <c r="BA26" s="109"/>
      <c r="BB26" s="109"/>
      <c r="BC26" s="109"/>
      <c r="BD26" s="109"/>
      <c r="BE26" s="109"/>
      <c r="BF26" s="4"/>
    </row>
    <row r="27" spans="1:58" ht="15" customHeight="1">
      <c r="A27" s="4"/>
      <c r="B27" s="287"/>
      <c r="C27" s="396"/>
      <c r="D27" s="397"/>
      <c r="E27" s="153"/>
      <c r="F27" s="360"/>
      <c r="G27" s="360"/>
      <c r="H27" s="4"/>
      <c r="I27" s="4"/>
      <c r="J27" s="4"/>
      <c r="K27" s="4"/>
      <c r="L27" s="4"/>
      <c r="M27" s="4"/>
      <c r="N27" s="4"/>
      <c r="O27" s="4"/>
      <c r="P27" s="4"/>
      <c r="Q27" s="4"/>
      <c r="R27" s="201"/>
      <c r="S27" s="201"/>
      <c r="T27" s="201"/>
      <c r="U27" s="201"/>
      <c r="V27" s="201"/>
      <c r="W27" s="201"/>
      <c r="X27" s="201"/>
      <c r="Y27" s="1409">
        <f aca="true" t="shared" si="7" ref="Y27:Y33">Y26+0.25</f>
        <v>3</v>
      </c>
      <c r="Z27" s="1403">
        <f t="shared" si="6"/>
        <v>9.45</v>
      </c>
      <c r="AA27" s="1404">
        <f t="shared" si="5"/>
        <v>0.33333921233178715</v>
      </c>
      <c r="AB27" s="1401"/>
      <c r="AC27" s="1187">
        <f t="shared" si="0"/>
        <v>4</v>
      </c>
      <c r="AD27" s="1181">
        <v>0.829</v>
      </c>
      <c r="AE27" s="1702">
        <f>AE26+0.5</f>
        <v>12.5</v>
      </c>
      <c r="AF27" s="1706">
        <f>(AF26+AF28)/2</f>
        <v>10.088000000000001</v>
      </c>
      <c r="AG27" s="1705">
        <f>(AG28+AG26)/2</f>
        <v>15.4395</v>
      </c>
      <c r="AH27"/>
      <c r="AI27"/>
      <c r="AJ27" s="383" t="s">
        <v>152</v>
      </c>
      <c r="AK27" s="476">
        <f>(AK24-AK17*AK18-AK19)</f>
        <v>23.308206521739134</v>
      </c>
      <c r="AL27" s="65" t="s">
        <v>455</v>
      </c>
      <c r="AM27" s="476">
        <f>(AM24-AM17*AM18-AM19)</f>
        <v>23.308206521739134</v>
      </c>
      <c r="AN27" s="109"/>
      <c r="AO27" s="344"/>
      <c r="AP27" s="153"/>
      <c r="AQ27" s="153"/>
      <c r="AR27" s="153"/>
      <c r="AS27" s="153"/>
      <c r="AT27" s="153"/>
      <c r="AU27" s="153"/>
      <c r="AV27" s="153"/>
      <c r="AW27" s="153"/>
      <c r="AX27" s="109"/>
      <c r="AY27" s="109"/>
      <c r="AZ27" s="109"/>
      <c r="BA27" s="109"/>
      <c r="BB27" s="109"/>
      <c r="BC27" s="109"/>
      <c r="BD27" s="109"/>
      <c r="BE27" s="109"/>
      <c r="BF27" s="4"/>
    </row>
    <row r="28" spans="1:58" ht="15" customHeight="1">
      <c r="A28" s="4"/>
      <c r="B28" s="398" t="s">
        <v>459</v>
      </c>
      <c r="C28" s="399" t="s">
        <v>253</v>
      </c>
      <c r="D28" s="400"/>
      <c r="E28" s="401" t="s">
        <v>351</v>
      </c>
      <c r="F28" s="380"/>
      <c r="G28" s="408"/>
      <c r="H28" s="2465" t="s">
        <v>1157</v>
      </c>
      <c r="I28" s="2466"/>
      <c r="J28" s="2466"/>
      <c r="K28" s="2466"/>
      <c r="L28" s="2466"/>
      <c r="M28" s="2466"/>
      <c r="N28" s="2466"/>
      <c r="O28" s="2466"/>
      <c r="P28" s="2466"/>
      <c r="Q28" s="2466"/>
      <c r="R28" s="2466"/>
      <c r="S28" s="2466"/>
      <c r="T28" s="2466"/>
      <c r="U28" s="2466"/>
      <c r="V28" s="201"/>
      <c r="W28" s="201"/>
      <c r="X28" s="201"/>
      <c r="Y28" s="1409">
        <f t="shared" si="7"/>
        <v>3.25</v>
      </c>
      <c r="Z28" s="1403">
        <f t="shared" si="6"/>
        <v>10.237499999999999</v>
      </c>
      <c r="AA28" s="1404">
        <f t="shared" si="5"/>
        <v>0.3611174800261027</v>
      </c>
      <c r="AB28" s="1401"/>
      <c r="AC28" s="1187">
        <f t="shared" si="0"/>
        <v>5</v>
      </c>
      <c r="AD28" s="1181">
        <v>0.804</v>
      </c>
      <c r="AE28" s="1707">
        <v>13</v>
      </c>
      <c r="AF28" s="1706">
        <v>10.497</v>
      </c>
      <c r="AG28" s="1707">
        <v>16.047</v>
      </c>
      <c r="AN28" s="109"/>
      <c r="AO28" s="344"/>
      <c r="AP28" s="2550" t="s">
        <v>186</v>
      </c>
      <c r="AQ28" s="2550"/>
      <c r="AR28" s="1540"/>
      <c r="AS28" s="114"/>
      <c r="AT28" s="114"/>
      <c r="AU28" s="114"/>
      <c r="AV28" s="371"/>
      <c r="AW28" s="371"/>
      <c r="AX28" s="109"/>
      <c r="AY28" s="109"/>
      <c r="AZ28" s="109"/>
      <c r="BA28" s="109"/>
      <c r="BB28" s="109"/>
      <c r="BC28" s="109"/>
      <c r="BD28" s="109"/>
      <c r="BE28" s="109"/>
      <c r="BF28" s="4"/>
    </row>
    <row r="29" spans="1:58" ht="15" customHeight="1">
      <c r="A29" s="4"/>
      <c r="B29" s="402"/>
      <c r="C29" s="403" t="s">
        <v>352</v>
      </c>
      <c r="D29" s="403" t="s">
        <v>353</v>
      </c>
      <c r="E29" s="404" t="s">
        <v>354</v>
      </c>
      <c r="F29" s="201"/>
      <c r="G29" s="201"/>
      <c r="H29" s="2466"/>
      <c r="I29" s="2466"/>
      <c r="J29" s="2466"/>
      <c r="K29" s="2466"/>
      <c r="L29" s="2466"/>
      <c r="M29" s="2466"/>
      <c r="N29" s="2466"/>
      <c r="O29" s="2466"/>
      <c r="P29" s="2466"/>
      <c r="Q29" s="2466"/>
      <c r="R29" s="2466"/>
      <c r="S29" s="2466"/>
      <c r="T29" s="2466"/>
      <c r="U29" s="2466"/>
      <c r="V29" s="201"/>
      <c r="W29" s="201"/>
      <c r="X29" s="201"/>
      <c r="Y29" s="1409">
        <f t="shared" si="7"/>
        <v>3.5</v>
      </c>
      <c r="Z29" s="1403">
        <f t="shared" si="6"/>
        <v>11.025</v>
      </c>
      <c r="AA29" s="1404">
        <f t="shared" si="5"/>
        <v>0.38889574772041835</v>
      </c>
      <c r="AB29" s="1401"/>
      <c r="AC29" s="1187">
        <f t="shared" si="0"/>
        <v>6</v>
      </c>
      <c r="AD29" s="1181">
        <v>0.781</v>
      </c>
      <c r="AE29" s="1702">
        <f>AE28+0.5</f>
        <v>13.5</v>
      </c>
      <c r="AF29" s="1706">
        <f>(AF28+AF30)/2</f>
        <v>10.907</v>
      </c>
      <c r="AG29" s="1705">
        <f>(AG30+AG28)/2</f>
        <v>16.653</v>
      </c>
      <c r="AN29" s="109"/>
      <c r="AO29" s="344"/>
      <c r="AP29" s="1311" t="s">
        <v>517</v>
      </c>
      <c r="AQ29" s="1312">
        <v>1000</v>
      </c>
      <c r="AR29" s="2367" t="str">
        <f>"g = "&amp;FIXED((BD32/BD33)*AQ29,0)&amp;" g WET Extract"</f>
        <v>g = 1,177 g WET Extract</v>
      </c>
      <c r="AS29" s="2368"/>
      <c r="AT29" s="2368"/>
      <c r="AU29" s="2474" t="str">
        <f>" = "&amp;FIXED(AQ29*BD32/BD31,0)&amp;" g Pale MALT"</f>
        <v> = 1,622 g Pale MALT</v>
      </c>
      <c r="AV29" s="2474"/>
      <c r="AW29" s="2475"/>
      <c r="AX29" s="171"/>
      <c r="AY29" s="153"/>
      <c r="AZ29" s="171"/>
      <c r="BA29" s="2372" t="s">
        <v>642</v>
      </c>
      <c r="BB29" s="2364"/>
      <c r="BC29" s="2365"/>
      <c r="BD29" s="2570" t="s">
        <v>678</v>
      </c>
      <c r="BE29" s="109"/>
      <c r="BF29" s="4"/>
    </row>
    <row r="30" spans="1:58" ht="15" customHeight="1">
      <c r="A30" s="4"/>
      <c r="B30" s="335" t="s">
        <v>355</v>
      </c>
      <c r="C30" s="154">
        <v>2.2</v>
      </c>
      <c r="D30" s="154">
        <v>2.8</v>
      </c>
      <c r="E30" s="155">
        <f aca="true" t="shared" si="8" ref="E30:E37">(C30+D30)/2</f>
        <v>2.5</v>
      </c>
      <c r="F30" s="201"/>
      <c r="G30" s="201"/>
      <c r="H30" s="2466"/>
      <c r="I30" s="2466"/>
      <c r="J30" s="2466"/>
      <c r="K30" s="2466"/>
      <c r="L30" s="2466"/>
      <c r="M30" s="2466"/>
      <c r="N30" s="2466"/>
      <c r="O30" s="2466"/>
      <c r="P30" s="2466"/>
      <c r="Q30" s="2466"/>
      <c r="R30" s="2466"/>
      <c r="S30" s="2466"/>
      <c r="T30" s="2466"/>
      <c r="U30" s="2466"/>
      <c r="V30" s="201"/>
      <c r="W30" s="201"/>
      <c r="X30" s="201"/>
      <c r="Y30" s="1409">
        <f>Y29+0.25</f>
        <v>3.75</v>
      </c>
      <c r="Z30" s="1403">
        <f t="shared" si="6"/>
        <v>11.8125</v>
      </c>
      <c r="AA30" s="1404">
        <f t="shared" si="5"/>
        <v>0.416674015414734</v>
      </c>
      <c r="AB30" s="1401"/>
      <c r="AC30" s="1187">
        <f t="shared" si="0"/>
        <v>7</v>
      </c>
      <c r="AD30" s="1181">
        <v>0.759</v>
      </c>
      <c r="AE30" s="1707">
        <v>14</v>
      </c>
      <c r="AF30" s="1706">
        <v>11.317</v>
      </c>
      <c r="AG30" s="1707">
        <v>17.259</v>
      </c>
      <c r="AN30" s="109"/>
      <c r="AO30" s="344"/>
      <c r="AP30" s="1311" t="s">
        <v>518</v>
      </c>
      <c r="AQ30" s="1312">
        <v>1000</v>
      </c>
      <c r="AR30" s="2367" t="str">
        <f>"g = "&amp;FIXED((BD33/BD32)*AQ30,0)&amp;" g DRY Extract"</f>
        <v>g = 849 g DRY Extract</v>
      </c>
      <c r="AS30" s="2368"/>
      <c r="AT30" s="2368"/>
      <c r="AU30" s="2474" t="str">
        <f>" = "&amp;FIXED(AQ30*BD33/BD31,0)&amp;" g Pale MALT"</f>
        <v> = 1,378 g Pale MALT</v>
      </c>
      <c r="AV30" s="2474"/>
      <c r="AW30" s="2475"/>
      <c r="AX30" s="171"/>
      <c r="AY30" s="153"/>
      <c r="AZ30" s="171"/>
      <c r="BA30" s="2360"/>
      <c r="BB30" s="2361"/>
      <c r="BC30" s="2362"/>
      <c r="BD30" s="2571"/>
      <c r="BE30" s="109"/>
      <c r="BF30" s="4"/>
    </row>
    <row r="31" spans="1:58" ht="15" customHeight="1">
      <c r="A31" s="4"/>
      <c r="B31" s="335" t="s">
        <v>356</v>
      </c>
      <c r="C31" s="154">
        <v>1.9</v>
      </c>
      <c r="D31" s="154">
        <v>2.5</v>
      </c>
      <c r="E31" s="155">
        <f t="shared" si="8"/>
        <v>2.2</v>
      </c>
      <c r="F31" s="201"/>
      <c r="G31" s="201"/>
      <c r="H31" s="2466"/>
      <c r="I31" s="2466"/>
      <c r="J31" s="2466"/>
      <c r="K31" s="2466"/>
      <c r="L31" s="2466"/>
      <c r="M31" s="2466"/>
      <c r="N31" s="2466"/>
      <c r="O31" s="2466"/>
      <c r="P31" s="2466"/>
      <c r="Q31" s="2466"/>
      <c r="R31" s="2466"/>
      <c r="S31" s="2466"/>
      <c r="T31" s="2466"/>
      <c r="U31" s="2466"/>
      <c r="V31" s="201"/>
      <c r="W31" s="201"/>
      <c r="X31" s="201"/>
      <c r="Y31" s="1409">
        <f>Y30+0.25</f>
        <v>4</v>
      </c>
      <c r="Z31" s="1403">
        <f t="shared" si="6"/>
        <v>12.6</v>
      </c>
      <c r="AA31" s="1404">
        <f t="shared" si="5"/>
        <v>0.44445228310904955</v>
      </c>
      <c r="AB31" s="344"/>
      <c r="AC31" s="1187">
        <f t="shared" si="0"/>
        <v>8</v>
      </c>
      <c r="AD31" s="1181">
        <v>0.738</v>
      </c>
      <c r="AE31" s="1702">
        <f>AE30+0.5</f>
        <v>14.5</v>
      </c>
      <c r="AF31" s="1706">
        <f>(AF30+AF32)/2</f>
        <v>11.7275</v>
      </c>
      <c r="AG31" s="1705">
        <f>(AG32+AG30)/2</f>
        <v>17.8595</v>
      </c>
      <c r="AH31" s="119">
        <v>0</v>
      </c>
      <c r="AI31" s="119">
        <v>0.125</v>
      </c>
      <c r="AJ31" s="362">
        <f aca="true" t="shared" si="9" ref="AJ31:AJ57">AH31*(1+AI31)</f>
        <v>0</v>
      </c>
      <c r="AN31" s="109"/>
      <c r="AO31" s="344"/>
      <c r="AP31" s="1313" t="s">
        <v>519</v>
      </c>
      <c r="AQ31" s="1312">
        <v>1000</v>
      </c>
      <c r="AR31" s="2367" t="str">
        <f>"g = "&amp;FIXED((BD31/BD33)*AQ31,0)&amp;" g WET Extract"</f>
        <v>g = 726 g WET Extract</v>
      </c>
      <c r="AS31" s="2368"/>
      <c r="AT31" s="2368"/>
      <c r="AU31" s="2474" t="str">
        <f>" = "&amp;FIXED(AQ31*BD31/BD32,0)&amp;" g DRY Extract"</f>
        <v> = 616 g DRY Extract</v>
      </c>
      <c r="AV31" s="2474"/>
      <c r="AW31" s="2475"/>
      <c r="AX31" s="171"/>
      <c r="AY31" s="153"/>
      <c r="AZ31" s="171"/>
      <c r="BA31" s="2363" t="s">
        <v>157</v>
      </c>
      <c r="BB31" s="2353"/>
      <c r="BC31" s="2354"/>
      <c r="BD31" s="1314">
        <v>225</v>
      </c>
      <c r="BE31" s="109"/>
      <c r="BF31" s="4"/>
    </row>
    <row r="32" spans="1:58" ht="15" customHeight="1">
      <c r="A32" s="4"/>
      <c r="B32" s="335" t="s">
        <v>357</v>
      </c>
      <c r="C32" s="154">
        <v>1.5</v>
      </c>
      <c r="D32" s="154">
        <v>2</v>
      </c>
      <c r="E32" s="155">
        <f t="shared" si="8"/>
        <v>1.75</v>
      </c>
      <c r="F32" s="201"/>
      <c r="G32" s="201"/>
      <c r="H32" s="2466"/>
      <c r="I32" s="2466"/>
      <c r="J32" s="2466"/>
      <c r="K32" s="2466"/>
      <c r="L32" s="2466"/>
      <c r="M32" s="2466"/>
      <c r="N32" s="2466"/>
      <c r="O32" s="2466"/>
      <c r="P32" s="2466"/>
      <c r="Q32" s="2466"/>
      <c r="R32" s="2466"/>
      <c r="S32" s="2466"/>
      <c r="T32" s="2466"/>
      <c r="U32" s="2466"/>
      <c r="V32" s="201"/>
      <c r="W32" s="201"/>
      <c r="X32" s="201"/>
      <c r="Y32" s="1409">
        <f t="shared" si="7"/>
        <v>4.25</v>
      </c>
      <c r="Z32" s="1403">
        <f t="shared" si="6"/>
        <v>13.3875</v>
      </c>
      <c r="AA32" s="1404">
        <f t="shared" si="5"/>
        <v>0.4722305508033651</v>
      </c>
      <c r="AB32" s="344"/>
      <c r="AC32" s="1187">
        <f t="shared" si="0"/>
        <v>9</v>
      </c>
      <c r="AD32" s="1181">
        <v>0.718</v>
      </c>
      <c r="AE32" s="1707">
        <v>15</v>
      </c>
      <c r="AF32" s="1706">
        <v>12.138</v>
      </c>
      <c r="AG32" s="1707">
        <v>18.46</v>
      </c>
      <c r="AH32" s="119">
        <f aca="true" t="shared" si="10" ref="AH32:AH57">AH31+0.4</f>
        <v>0.4</v>
      </c>
      <c r="AI32" s="119">
        <v>0.125</v>
      </c>
      <c r="AJ32" s="362">
        <f t="shared" si="9"/>
        <v>0.45</v>
      </c>
      <c r="AN32" s="109"/>
      <c r="AO32" s="344"/>
      <c r="AP32" s="1313" t="s">
        <v>317</v>
      </c>
      <c r="AQ32" s="1312">
        <v>1000</v>
      </c>
      <c r="AR32" s="2367" t="str">
        <f>"g = "&amp;FIXED(AQ32*BD34/BD33,0)&amp;" g (NEW Weight)"</f>
        <v>g = 977 g (NEW Weight)</v>
      </c>
      <c r="AS32" s="2368"/>
      <c r="AT32" s="2368"/>
      <c r="AU32" s="2368"/>
      <c r="AV32" s="2368"/>
      <c r="AW32" s="2369"/>
      <c r="AX32" s="171"/>
      <c r="AY32" s="153"/>
      <c r="AZ32" s="171"/>
      <c r="BA32" s="2381" t="s">
        <v>187</v>
      </c>
      <c r="BB32" s="2382"/>
      <c r="BC32" s="2366"/>
      <c r="BD32" s="1314">
        <v>365</v>
      </c>
      <c r="BE32" s="109"/>
      <c r="BF32" s="4"/>
    </row>
    <row r="33" spans="1:58" ht="15" customHeight="1">
      <c r="A33" s="4"/>
      <c r="B33" s="335" t="s">
        <v>363</v>
      </c>
      <c r="C33" s="154">
        <v>2.4</v>
      </c>
      <c r="D33" s="154">
        <v>2.7</v>
      </c>
      <c r="E33" s="155">
        <f t="shared" si="8"/>
        <v>2.55</v>
      </c>
      <c r="F33" s="201"/>
      <c r="G33" s="201"/>
      <c r="H33" s="2466"/>
      <c r="I33" s="2466"/>
      <c r="J33" s="2466"/>
      <c r="K33" s="2466"/>
      <c r="L33" s="2466"/>
      <c r="M33" s="2466"/>
      <c r="N33" s="2466"/>
      <c r="O33" s="2466"/>
      <c r="P33" s="2466"/>
      <c r="Q33" s="2466"/>
      <c r="R33" s="2466"/>
      <c r="S33" s="2466"/>
      <c r="T33" s="2466"/>
      <c r="U33" s="2466"/>
      <c r="V33" s="201"/>
      <c r="W33" s="201"/>
      <c r="X33" s="201"/>
      <c r="Y33" s="1409">
        <f t="shared" si="7"/>
        <v>4.5</v>
      </c>
      <c r="Z33" s="1403">
        <f t="shared" si="6"/>
        <v>14.174999999999999</v>
      </c>
      <c r="AA33" s="1404">
        <f t="shared" si="5"/>
        <v>0.5000088184976808</v>
      </c>
      <c r="AB33" s="344"/>
      <c r="AC33" s="1187">
        <f t="shared" si="0"/>
        <v>10</v>
      </c>
      <c r="AD33" s="1181">
        <v>0.699</v>
      </c>
      <c r="AE33" s="1707">
        <v>16</v>
      </c>
      <c r="AF33" s="1706">
        <v>12.961</v>
      </c>
      <c r="AG33" s="1707">
        <v>19.676</v>
      </c>
      <c r="AH33" s="119">
        <f t="shared" si="10"/>
        <v>0.8</v>
      </c>
      <c r="AI33" s="119">
        <v>0.126</v>
      </c>
      <c r="AJ33" s="362">
        <f t="shared" si="9"/>
        <v>0.9007999999999999</v>
      </c>
      <c r="AN33" s="109"/>
      <c r="AO33" s="344"/>
      <c r="AP33" s="1313" t="s">
        <v>188</v>
      </c>
      <c r="AQ33" s="1312">
        <v>1000</v>
      </c>
      <c r="AR33" s="2367" t="str">
        <f>"g = "&amp;FIXED(AQ33*0.85,-1)&amp;" g CANE Sugar"</f>
        <v>g = 850 g CANE Sugar</v>
      </c>
      <c r="AS33" s="2368"/>
      <c r="AT33" s="2368"/>
      <c r="AU33" s="2368"/>
      <c r="AV33" s="2368"/>
      <c r="AW33" s="2369"/>
      <c r="AX33" s="171"/>
      <c r="AY33" s="153"/>
      <c r="AZ33" s="171"/>
      <c r="BA33" s="2363" t="s">
        <v>189</v>
      </c>
      <c r="BB33" s="2353"/>
      <c r="BC33" s="2354"/>
      <c r="BD33" s="1314">
        <v>310</v>
      </c>
      <c r="BE33" s="197"/>
      <c r="BF33" s="4"/>
    </row>
    <row r="34" spans="1:58" ht="15" customHeight="1">
      <c r="A34" s="4"/>
      <c r="B34" s="336" t="s">
        <v>362</v>
      </c>
      <c r="C34" s="154">
        <v>2.5</v>
      </c>
      <c r="D34" s="154">
        <v>2.8</v>
      </c>
      <c r="E34" s="155">
        <f t="shared" si="8"/>
        <v>2.65</v>
      </c>
      <c r="F34" s="201"/>
      <c r="G34" s="201"/>
      <c r="H34" s="2466"/>
      <c r="I34" s="2466"/>
      <c r="J34" s="2466"/>
      <c r="K34" s="2466"/>
      <c r="L34" s="2466"/>
      <c r="M34" s="2466"/>
      <c r="N34" s="2466"/>
      <c r="O34" s="2466"/>
      <c r="P34" s="2466"/>
      <c r="Q34" s="2466"/>
      <c r="R34" s="2466"/>
      <c r="S34" s="2466"/>
      <c r="T34" s="2466"/>
      <c r="U34" s="2466"/>
      <c r="V34" s="201"/>
      <c r="W34" s="201"/>
      <c r="X34" s="201"/>
      <c r="Y34" s="1409">
        <f>Y33+0.25</f>
        <v>4.75</v>
      </c>
      <c r="Z34" s="1403">
        <f t="shared" si="6"/>
        <v>14.9625</v>
      </c>
      <c r="AA34" s="1404">
        <f t="shared" si="5"/>
        <v>0.5277870861919963</v>
      </c>
      <c r="AB34" s="344"/>
      <c r="AC34" s="1187">
        <f t="shared" si="0"/>
        <v>11</v>
      </c>
      <c r="AD34" s="1181">
        <v>0.682</v>
      </c>
      <c r="AE34" s="1707">
        <v>17</v>
      </c>
      <c r="AF34" s="1706">
        <v>13.786</v>
      </c>
      <c r="AG34" s="1707">
        <v>20.88</v>
      </c>
      <c r="AH34" s="119">
        <f t="shared" si="10"/>
        <v>1.2000000000000002</v>
      </c>
      <c r="AI34" s="119">
        <v>0.126</v>
      </c>
      <c r="AJ34" s="362">
        <f t="shared" si="9"/>
        <v>1.3512000000000002</v>
      </c>
      <c r="AN34" s="109"/>
      <c r="AO34" s="344"/>
      <c r="AP34" s="1313" t="s">
        <v>190</v>
      </c>
      <c r="AQ34" s="1312">
        <v>1000</v>
      </c>
      <c r="AR34" s="2367" t="str">
        <f>"g = "&amp;FIXED(AQ34*1/0.85,0)&amp;" g INVERT Sugar"</f>
        <v>g = 1,176 g INVERT Sugar</v>
      </c>
      <c r="AS34" s="2368"/>
      <c r="AT34" s="2368"/>
      <c r="AU34" s="2368"/>
      <c r="AV34" s="2368"/>
      <c r="AW34" s="2369"/>
      <c r="AX34" s="171"/>
      <c r="AY34" s="153"/>
      <c r="AZ34" s="171"/>
      <c r="BA34" s="2381" t="s">
        <v>191</v>
      </c>
      <c r="BB34" s="2382"/>
      <c r="BC34" s="2366"/>
      <c r="BD34" s="1314">
        <v>303</v>
      </c>
      <c r="BE34" s="109"/>
      <c r="BF34" s="4"/>
    </row>
    <row r="35" spans="1:58" ht="15" customHeight="1">
      <c r="A35" s="4"/>
      <c r="B35" s="180" t="s">
        <v>141</v>
      </c>
      <c r="C35" s="154">
        <v>2.2</v>
      </c>
      <c r="D35" s="154">
        <v>3</v>
      </c>
      <c r="E35" s="155">
        <f t="shared" si="8"/>
        <v>2.6</v>
      </c>
      <c r="F35" s="201"/>
      <c r="G35" s="201"/>
      <c r="H35" s="2466"/>
      <c r="I35" s="2466"/>
      <c r="J35" s="2466"/>
      <c r="K35" s="2466"/>
      <c r="L35" s="2466"/>
      <c r="M35" s="2466"/>
      <c r="N35" s="2466"/>
      <c r="O35" s="2466"/>
      <c r="P35" s="2466"/>
      <c r="Q35" s="2466"/>
      <c r="R35" s="2466"/>
      <c r="S35" s="2466"/>
      <c r="T35" s="2466"/>
      <c r="U35" s="2466"/>
      <c r="V35" s="201"/>
      <c r="W35" s="201"/>
      <c r="X35" s="201"/>
      <c r="Y35" s="1409">
        <f>Y34+0.25</f>
        <v>5</v>
      </c>
      <c r="Z35" s="1403">
        <f t="shared" si="6"/>
        <v>15.75</v>
      </c>
      <c r="AA35" s="1404">
        <f t="shared" si="5"/>
        <v>0.5555653538863119</v>
      </c>
      <c r="AB35" s="344"/>
      <c r="AC35" s="1187">
        <f t="shared" si="0"/>
        <v>12</v>
      </c>
      <c r="AD35" s="1181">
        <v>0.665</v>
      </c>
      <c r="AE35" s="1707">
        <v>18</v>
      </c>
      <c r="AF35" s="1706">
        <v>14.612</v>
      </c>
      <c r="AG35" s="1707">
        <v>22.081</v>
      </c>
      <c r="AH35" s="119">
        <f t="shared" si="10"/>
        <v>1.6</v>
      </c>
      <c r="AI35" s="119">
        <v>0.127</v>
      </c>
      <c r="AJ35" s="362">
        <f t="shared" si="9"/>
        <v>1.8032000000000001</v>
      </c>
      <c r="AN35" s="109"/>
      <c r="AO35" s="344"/>
      <c r="AP35" s="201"/>
      <c r="AQ35" s="108"/>
      <c r="AR35" s="4"/>
      <c r="AS35" s="153"/>
      <c r="AT35" s="4"/>
      <c r="AU35" s="4"/>
      <c r="AV35" s="4"/>
      <c r="AW35" s="4"/>
      <c r="AX35" s="2380" t="s">
        <v>322</v>
      </c>
      <c r="AY35" s="2380"/>
      <c r="AZ35" s="2380"/>
      <c r="BA35" s="2380"/>
      <c r="BB35" s="2380"/>
      <c r="BC35" s="406"/>
      <c r="BD35" s="4"/>
      <c r="BE35" s="242"/>
      <c r="BF35" s="4"/>
    </row>
    <row r="36" spans="1:58" ht="15" customHeight="1">
      <c r="A36" s="4"/>
      <c r="B36" s="337" t="s">
        <v>368</v>
      </c>
      <c r="C36" s="154">
        <v>1.7</v>
      </c>
      <c r="D36" s="154">
        <v>2.3</v>
      </c>
      <c r="E36" s="155">
        <f t="shared" si="8"/>
        <v>2</v>
      </c>
      <c r="F36" s="201"/>
      <c r="G36" s="201"/>
      <c r="H36" s="2466"/>
      <c r="I36" s="2466"/>
      <c r="J36" s="2466"/>
      <c r="K36" s="2466"/>
      <c r="L36" s="2466"/>
      <c r="M36" s="2466"/>
      <c r="N36" s="2466"/>
      <c r="O36" s="2466"/>
      <c r="P36" s="2466"/>
      <c r="Q36" s="2466"/>
      <c r="R36" s="2466"/>
      <c r="S36" s="2466"/>
      <c r="T36" s="2466"/>
      <c r="U36" s="2466"/>
      <c r="V36" s="201"/>
      <c r="W36" s="201"/>
      <c r="X36" s="201"/>
      <c r="Y36" s="1409">
        <f>Y35+0.25</f>
        <v>5.25</v>
      </c>
      <c r="Z36" s="1403">
        <f t="shared" si="6"/>
        <v>16.537499999999998</v>
      </c>
      <c r="AA36" s="1404">
        <f t="shared" si="5"/>
        <v>0.5833436215806275</v>
      </c>
      <c r="AB36" s="344"/>
      <c r="AE36" s="1707">
        <v>19</v>
      </c>
      <c r="AF36" s="1706">
        <v>15.44</v>
      </c>
      <c r="AG36" s="1707">
        <v>23.278</v>
      </c>
      <c r="AH36" s="119">
        <f t="shared" si="10"/>
        <v>2</v>
      </c>
      <c r="AI36" s="119">
        <v>0.128</v>
      </c>
      <c r="AJ36" s="362">
        <f t="shared" si="9"/>
        <v>2.2560000000000002</v>
      </c>
      <c r="AN36" s="109"/>
      <c r="AO36" s="344"/>
      <c r="AP36" s="1315" t="s">
        <v>679</v>
      </c>
      <c r="AQ36" s="190" t="s">
        <v>389</v>
      </c>
      <c r="AR36" s="1316" t="s">
        <v>520</v>
      </c>
      <c r="AS36" s="1316" t="s">
        <v>318</v>
      </c>
      <c r="AT36" s="2572" t="s">
        <v>521</v>
      </c>
      <c r="AU36" s="2573"/>
      <c r="AV36" s="2573"/>
      <c r="AW36" s="2573"/>
      <c r="AX36" s="2204"/>
      <c r="AY36" s="2204"/>
      <c r="AZ36" s="2204"/>
      <c r="BA36" s="2203"/>
      <c r="BB36" s="1323" t="s">
        <v>497</v>
      </c>
      <c r="BC36" s="1324" t="s">
        <v>524</v>
      </c>
      <c r="BD36" s="1325" t="s">
        <v>525</v>
      </c>
      <c r="BE36" s="242"/>
      <c r="BF36" s="4"/>
    </row>
    <row r="37" spans="1:58" ht="15" customHeight="1">
      <c r="A37" s="4"/>
      <c r="B37" s="335" t="s">
        <v>365</v>
      </c>
      <c r="C37" s="154">
        <v>3.7</v>
      </c>
      <c r="D37" s="154">
        <v>4.7</v>
      </c>
      <c r="E37" s="155">
        <f t="shared" si="8"/>
        <v>4.2</v>
      </c>
      <c r="F37" s="201"/>
      <c r="G37" s="201"/>
      <c r="H37" s="2466"/>
      <c r="I37" s="2466"/>
      <c r="J37" s="2466"/>
      <c r="K37" s="2466"/>
      <c r="L37" s="2466"/>
      <c r="M37" s="2466"/>
      <c r="N37" s="2466"/>
      <c r="O37" s="2466"/>
      <c r="P37" s="2466"/>
      <c r="Q37" s="2466"/>
      <c r="R37" s="2466"/>
      <c r="S37" s="2466"/>
      <c r="T37" s="2466"/>
      <c r="U37" s="2466"/>
      <c r="V37" s="408"/>
      <c r="W37" s="408"/>
      <c r="X37" s="408"/>
      <c r="Y37" s="1307">
        <v>7.3</v>
      </c>
      <c r="Z37" s="1403">
        <f t="shared" si="6"/>
        <v>22.994999999999997</v>
      </c>
      <c r="AA37" s="1404">
        <f t="shared" si="5"/>
        <v>0.8111254166740154</v>
      </c>
      <c r="AB37" s="344"/>
      <c r="AE37" s="1707">
        <v>20</v>
      </c>
      <c r="AF37" s="1706">
        <v>16.269</v>
      </c>
      <c r="AG37" s="1707">
        <v>24.472</v>
      </c>
      <c r="AH37" s="119">
        <f t="shared" si="10"/>
        <v>2.4</v>
      </c>
      <c r="AI37" s="119">
        <v>0.128</v>
      </c>
      <c r="AJ37" s="362">
        <f t="shared" si="9"/>
        <v>2.7072000000000003</v>
      </c>
      <c r="AN37" s="109"/>
      <c r="AO37" s="344"/>
      <c r="AP37" s="1315"/>
      <c r="AQ37" s="322">
        <f>AR37*BD32/BD33</f>
        <v>1177.4193548387098</v>
      </c>
      <c r="AR37" s="261">
        <v>1000</v>
      </c>
      <c r="AS37" s="322">
        <f>AR37*BD33/BD32</f>
        <v>849.3150684931506</v>
      </c>
      <c r="AT37" s="1318"/>
      <c r="AU37" s="183"/>
      <c r="AV37" s="242"/>
      <c r="AW37" s="242"/>
      <c r="AX37" s="2295" t="s">
        <v>330</v>
      </c>
      <c r="AY37" s="2295"/>
      <c r="AZ37" s="2295"/>
      <c r="BA37" s="2296"/>
      <c r="BB37" s="1327" t="s">
        <v>526</v>
      </c>
      <c r="BC37" s="1328" t="s">
        <v>527</v>
      </c>
      <c r="BD37" s="1329" t="s">
        <v>528</v>
      </c>
      <c r="BE37" s="242"/>
      <c r="BF37" s="4"/>
    </row>
    <row r="38" spans="1:58" ht="15" customHeight="1">
      <c r="A38" s="4"/>
      <c r="B38" s="2566" t="s">
        <v>254</v>
      </c>
      <c r="C38" s="2567"/>
      <c r="D38" s="2567"/>
      <c r="E38" s="2567"/>
      <c r="F38" s="201"/>
      <c r="G38" s="201"/>
      <c r="H38" s="2466"/>
      <c r="I38" s="2466"/>
      <c r="J38" s="2466"/>
      <c r="K38" s="2466"/>
      <c r="L38" s="2466"/>
      <c r="M38" s="2466"/>
      <c r="N38" s="2466"/>
      <c r="O38" s="2466"/>
      <c r="P38" s="2466"/>
      <c r="Q38" s="2466"/>
      <c r="R38" s="2466"/>
      <c r="S38" s="2466"/>
      <c r="T38" s="2466"/>
      <c r="U38" s="2466"/>
      <c r="V38" s="324"/>
      <c r="W38" s="324"/>
      <c r="X38" s="324"/>
      <c r="Y38" s="324"/>
      <c r="Z38" s="201"/>
      <c r="AA38" s="201"/>
      <c r="AB38" s="344"/>
      <c r="AE38" s="1707">
        <v>21</v>
      </c>
      <c r="AF38" s="1706">
        <v>17.1</v>
      </c>
      <c r="AG38" s="1707">
        <v>25.662</v>
      </c>
      <c r="AH38" s="119">
        <f t="shared" si="10"/>
        <v>2.8</v>
      </c>
      <c r="AI38" s="119">
        <v>0.128</v>
      </c>
      <c r="AJ38" s="362">
        <f t="shared" si="9"/>
        <v>3.1584000000000003</v>
      </c>
      <c r="AN38" s="109"/>
      <c r="AO38" s="344"/>
      <c r="AP38" s="201"/>
      <c r="AQ38" s="182"/>
      <c r="AR38" s="182"/>
      <c r="AS38" s="182"/>
      <c r="AT38" s="1318"/>
      <c r="AU38" s="183"/>
      <c r="AV38" s="242"/>
      <c r="AW38" s="242"/>
      <c r="AX38" s="109"/>
      <c r="AY38" s="109"/>
      <c r="AZ38" s="109"/>
      <c r="BA38" s="109"/>
      <c r="BB38" s="1330">
        <f>BC38*(BD33/BD34)</f>
        <v>1534.6534653465346</v>
      </c>
      <c r="BC38" s="1331">
        <v>1500</v>
      </c>
      <c r="BD38" s="1330">
        <f>BC38*(BD34/BD33)</f>
        <v>1466.1290322580646</v>
      </c>
      <c r="BE38" s="242"/>
      <c r="BF38" s="4"/>
    </row>
    <row r="39" spans="1:58" ht="15" customHeight="1">
      <c r="A39" s="4"/>
      <c r="B39" s="4"/>
      <c r="C39" s="108"/>
      <c r="D39" s="4"/>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E39" s="1707">
        <v>22</v>
      </c>
      <c r="AF39" s="1706">
        <v>17.933</v>
      </c>
      <c r="AG39" s="1707">
        <v>26.849</v>
      </c>
      <c r="AH39" s="119">
        <f t="shared" si="10"/>
        <v>3.1999999999999997</v>
      </c>
      <c r="AI39" s="119">
        <v>0.129</v>
      </c>
      <c r="AJ39" s="362">
        <f t="shared" si="9"/>
        <v>3.6127999999999996</v>
      </c>
      <c r="AK39" s="2053" t="s">
        <v>159</v>
      </c>
      <c r="AN39" s="109"/>
      <c r="AO39" s="344"/>
      <c r="AP39" s="201"/>
      <c r="AQ39" s="1316" t="s">
        <v>389</v>
      </c>
      <c r="AR39" s="1316" t="s">
        <v>639</v>
      </c>
      <c r="AS39" s="1316" t="s">
        <v>318</v>
      </c>
      <c r="AT39" s="2572" t="s">
        <v>523</v>
      </c>
      <c r="AU39" s="2573"/>
      <c r="AV39" s="2573"/>
      <c r="AW39" s="2573"/>
      <c r="AX39" s="1317"/>
      <c r="AY39" s="1319"/>
      <c r="AZ39" s="242"/>
      <c r="BA39" s="182"/>
      <c r="BB39" s="182"/>
      <c r="BC39" s="1318"/>
      <c r="BD39" s="242"/>
      <c r="BE39" s="242"/>
      <c r="BF39" s="4"/>
    </row>
    <row r="40" spans="1:58" ht="15" customHeight="1">
      <c r="A40" s="4"/>
      <c r="B40" s="4"/>
      <c r="C40" s="108"/>
      <c r="D40" s="4"/>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E40" s="1707">
        <v>23</v>
      </c>
      <c r="AF40" s="1706">
        <v>18.768</v>
      </c>
      <c r="AG40" s="1707">
        <v>28.032</v>
      </c>
      <c r="AH40" s="363">
        <f t="shared" si="10"/>
        <v>3.5999999999999996</v>
      </c>
      <c r="AI40" s="363">
        <v>0.129</v>
      </c>
      <c r="AJ40" s="364">
        <f t="shared" si="9"/>
        <v>4.0644</v>
      </c>
      <c r="AM40" s="2052">
        <f>((BD41+40)*9/5)-40</f>
        <v>32</v>
      </c>
      <c r="AN40" s="109"/>
      <c r="AO40" s="344"/>
      <c r="AP40" s="201"/>
      <c r="AQ40" s="322">
        <f>AR40*BD31/BD33</f>
        <v>725.8064516129032</v>
      </c>
      <c r="AR40" s="261">
        <v>1000</v>
      </c>
      <c r="AS40" s="322">
        <f>AR40*BD31/BD32</f>
        <v>616.4383561643835</v>
      </c>
      <c r="AT40" s="1318"/>
      <c r="AU40" s="183"/>
      <c r="AV40" s="242"/>
      <c r="AW40" s="242"/>
      <c r="AX40" s="242"/>
      <c r="AY40" s="242"/>
      <c r="AZ40" s="242"/>
      <c r="BA40" s="182"/>
      <c r="BB40" s="2054"/>
      <c r="BC40" s="2054"/>
      <c r="BD40" s="2054"/>
      <c r="BE40" s="2055"/>
      <c r="BF40" s="4"/>
    </row>
    <row r="41" spans="1:58" ht="15" customHeight="1">
      <c r="A41" s="2496" t="s">
        <v>631</v>
      </c>
      <c r="B41" s="2496"/>
      <c r="C41" s="153"/>
      <c r="D41" s="153"/>
      <c r="E41" s="153"/>
      <c r="F41" s="153"/>
      <c r="G41" s="153"/>
      <c r="H41" s="4"/>
      <c r="I41" s="4"/>
      <c r="J41" s="4"/>
      <c r="K41" s="4"/>
      <c r="L41" s="4"/>
      <c r="M41" s="4"/>
      <c r="N41" s="4"/>
      <c r="O41" s="4"/>
      <c r="P41" s="4"/>
      <c r="Q41" s="4"/>
      <c r="R41" s="4"/>
      <c r="S41" s="4"/>
      <c r="T41" s="4"/>
      <c r="U41" s="4"/>
      <c r="V41" s="4"/>
      <c r="W41" s="4"/>
      <c r="X41" s="4"/>
      <c r="Y41" s="4"/>
      <c r="Z41" s="153"/>
      <c r="AA41" s="153"/>
      <c r="AB41" s="153"/>
      <c r="AE41" s="1707">
        <v>24</v>
      </c>
      <c r="AF41" s="1706">
        <v>19.604</v>
      </c>
      <c r="AG41" s="1707">
        <v>29.21</v>
      </c>
      <c r="AH41" s="119">
        <f t="shared" si="10"/>
        <v>3.9999999999999996</v>
      </c>
      <c r="AI41" s="119">
        <v>0.129</v>
      </c>
      <c r="AJ41" s="362">
        <f t="shared" si="9"/>
        <v>4.515999999999999</v>
      </c>
      <c r="AN41" s="109"/>
      <c r="AO41" s="344"/>
      <c r="AP41" s="201"/>
      <c r="AQ41" s="1320"/>
      <c r="AR41" s="1321"/>
      <c r="AS41" s="386"/>
      <c r="AT41" s="1322"/>
      <c r="AU41" s="242"/>
      <c r="AV41" s="242"/>
      <c r="AW41" s="911"/>
      <c r="AX41" s="242"/>
      <c r="AY41" s="2473" t="s">
        <v>1696</v>
      </c>
      <c r="AZ41" s="2473"/>
      <c r="BA41" s="2473"/>
      <c r="BB41" s="2473"/>
      <c r="BC41" s="2473"/>
      <c r="BD41" s="2054"/>
      <c r="BE41" s="2055"/>
      <c r="BF41" s="4"/>
    </row>
    <row r="42" spans="1:58" ht="15" customHeight="1">
      <c r="A42" s="109"/>
      <c r="B42" s="153"/>
      <c r="C42" s="153"/>
      <c r="D42" s="153"/>
      <c r="E42" s="153"/>
      <c r="F42" s="153"/>
      <c r="G42" s="153"/>
      <c r="H42" s="4"/>
      <c r="I42" s="4"/>
      <c r="J42" s="4"/>
      <c r="K42" s="4"/>
      <c r="L42" s="4"/>
      <c r="M42" s="4"/>
      <c r="N42" s="4"/>
      <c r="O42" s="4"/>
      <c r="P42" s="4"/>
      <c r="Q42" s="4"/>
      <c r="R42" s="4"/>
      <c r="S42" s="4"/>
      <c r="T42" s="4"/>
      <c r="U42" s="4"/>
      <c r="V42" s="4"/>
      <c r="W42" s="4"/>
      <c r="X42" s="4"/>
      <c r="Y42" s="4"/>
      <c r="Z42" s="201"/>
      <c r="AA42" s="201"/>
      <c r="AB42" s="201"/>
      <c r="AE42" s="1707">
        <v>25</v>
      </c>
      <c r="AF42" s="1706">
        <v>20.443</v>
      </c>
      <c r="AG42" s="1707">
        <v>30.388</v>
      </c>
      <c r="AH42" s="119">
        <f t="shared" si="10"/>
        <v>4.3999999999999995</v>
      </c>
      <c r="AI42" s="119">
        <v>0.13</v>
      </c>
      <c r="AJ42" s="362">
        <f t="shared" si="9"/>
        <v>4.971999999999999</v>
      </c>
      <c r="AN42" s="109"/>
      <c r="AO42" s="344"/>
      <c r="AP42" s="1326"/>
      <c r="AQ42" s="189" t="s">
        <v>522</v>
      </c>
      <c r="AR42" s="1306" t="s">
        <v>364</v>
      </c>
      <c r="AS42" s="1306" t="s">
        <v>316</v>
      </c>
      <c r="AT42" s="1539" t="s">
        <v>315</v>
      </c>
      <c r="AU42" s="1539"/>
      <c r="AV42" s="1539"/>
      <c r="AW42" s="1539"/>
      <c r="AX42" s="242"/>
      <c r="AY42" s="242"/>
      <c r="AZ42" s="242"/>
      <c r="BA42" s="2293">
        <f>((BC44+40)*9/5)-40</f>
        <v>78.8</v>
      </c>
      <c r="BB42" s="2294"/>
      <c r="BC42" s="2057" t="s">
        <v>265</v>
      </c>
      <c r="BD42" s="2089" t="s">
        <v>266</v>
      </c>
      <c r="BE42" s="2055"/>
      <c r="BF42" s="4"/>
    </row>
    <row r="43" spans="1:58" ht="15" customHeight="1">
      <c r="A43" s="109"/>
      <c r="B43" s="2565" t="s">
        <v>515</v>
      </c>
      <c r="C43" s="2466"/>
      <c r="D43" s="2466"/>
      <c r="E43" s="2466"/>
      <c r="F43" s="2466"/>
      <c r="G43" s="2466"/>
      <c r="H43" s="2466"/>
      <c r="I43" s="2466"/>
      <c r="J43" s="2466"/>
      <c r="K43" s="2466"/>
      <c r="L43" s="2466"/>
      <c r="M43" s="2466"/>
      <c r="N43" s="2466"/>
      <c r="O43" s="2466"/>
      <c r="P43" s="2466"/>
      <c r="Q43" s="2466"/>
      <c r="R43" s="2466"/>
      <c r="S43" s="2466"/>
      <c r="T43" s="201"/>
      <c r="U43" s="201"/>
      <c r="V43" s="201"/>
      <c r="W43" s="201"/>
      <c r="X43" s="242"/>
      <c r="Y43" s="242"/>
      <c r="Z43" s="153"/>
      <c r="AA43" s="153"/>
      <c r="AB43" s="153"/>
      <c r="AE43" s="1707">
        <v>26</v>
      </c>
      <c r="AF43" s="1706">
        <v>21.285</v>
      </c>
      <c r="AG43" s="1705">
        <v>31.555</v>
      </c>
      <c r="AH43" s="119">
        <f t="shared" si="10"/>
        <v>4.8</v>
      </c>
      <c r="AI43" s="119">
        <v>0.13</v>
      </c>
      <c r="AJ43" s="362">
        <f t="shared" si="9"/>
        <v>5.4239999999999995</v>
      </c>
      <c r="AN43" s="109"/>
      <c r="AO43" s="344"/>
      <c r="AP43" s="201"/>
      <c r="AQ43" s="1330">
        <f>AR43/0.85</f>
        <v>117.64705882352942</v>
      </c>
      <c r="AR43" s="1309">
        <v>100</v>
      </c>
      <c r="AS43" s="1330">
        <f>AR43*0.85</f>
        <v>85</v>
      </c>
      <c r="AT43" s="317"/>
      <c r="AU43" s="317"/>
      <c r="AV43" s="317"/>
      <c r="AW43" s="317"/>
      <c r="AX43" s="317"/>
      <c r="AY43" s="317"/>
      <c r="AZ43" s="317"/>
      <c r="BA43" s="2291" t="s">
        <v>267</v>
      </c>
      <c r="BB43" s="2292"/>
      <c r="BC43" s="2058" t="s">
        <v>1691</v>
      </c>
      <c r="BD43" s="2058" t="s">
        <v>1692</v>
      </c>
      <c r="BE43" s="2055"/>
      <c r="BF43" s="113"/>
    </row>
    <row r="44" spans="1:58" ht="15" customHeight="1">
      <c r="A44" s="109"/>
      <c r="B44" s="153"/>
      <c r="C44" s="153"/>
      <c r="D44" s="153"/>
      <c r="E44" s="153"/>
      <c r="F44" s="153"/>
      <c r="G44" s="153"/>
      <c r="H44" s="153"/>
      <c r="I44" s="153"/>
      <c r="J44" s="153"/>
      <c r="K44" s="153"/>
      <c r="L44" s="153"/>
      <c r="M44" s="153"/>
      <c r="N44" s="153"/>
      <c r="O44" s="153"/>
      <c r="P44" s="153"/>
      <c r="Q44" s="153"/>
      <c r="R44" s="201"/>
      <c r="S44" s="201"/>
      <c r="T44" s="201"/>
      <c r="U44" s="201"/>
      <c r="V44" s="201"/>
      <c r="W44" s="201"/>
      <c r="X44" s="153"/>
      <c r="Y44" s="153"/>
      <c r="Z44" s="153"/>
      <c r="AA44" s="153"/>
      <c r="AB44" s="153"/>
      <c r="AE44" s="1707">
        <v>27</v>
      </c>
      <c r="AF44" s="1706">
        <v>22.127</v>
      </c>
      <c r="AG44" s="1705">
        <v>32.719</v>
      </c>
      <c r="AH44" s="118">
        <f t="shared" si="10"/>
        <v>5.2</v>
      </c>
      <c r="AI44" s="118">
        <v>0.13</v>
      </c>
      <c r="AJ44" s="461">
        <f t="shared" si="9"/>
        <v>5.8759999999999994</v>
      </c>
      <c r="AN44" s="109"/>
      <c r="AO44" s="344"/>
      <c r="AP44" s="201"/>
      <c r="AQ44" s="318"/>
      <c r="AR44" s="182"/>
      <c r="AS44" s="319"/>
      <c r="AT44" s="183"/>
      <c r="AU44" s="183"/>
      <c r="AV44" s="183"/>
      <c r="AW44" s="183"/>
      <c r="AX44" s="183"/>
      <c r="AY44" s="183"/>
      <c r="AZ44" s="183"/>
      <c r="BA44" s="2306" t="s">
        <v>1063</v>
      </c>
      <c r="BB44" s="2297"/>
      <c r="BC44" s="2059">
        <v>26</v>
      </c>
      <c r="BD44" s="2060">
        <v>78</v>
      </c>
      <c r="BE44" s="2055"/>
      <c r="BF44" s="113"/>
    </row>
    <row r="45" spans="1:58" ht="15" customHeight="1" thickBot="1">
      <c r="A45" s="109"/>
      <c r="B45" s="218"/>
      <c r="C45" s="2501" t="s">
        <v>632</v>
      </c>
      <c r="D45" s="2501"/>
      <c r="E45" s="258">
        <v>23</v>
      </c>
      <c r="F45" s="2502" t="s">
        <v>281</v>
      </c>
      <c r="G45" s="2495"/>
      <c r="H45" s="2495"/>
      <c r="I45" s="2495"/>
      <c r="J45" s="2495"/>
      <c r="K45" s="258">
        <v>600</v>
      </c>
      <c r="L45" s="246" t="s">
        <v>630</v>
      </c>
      <c r="M45" s="1784">
        <f>E45-K45/1000</f>
        <v>22.4</v>
      </c>
      <c r="N45" s="2569" t="s">
        <v>651</v>
      </c>
      <c r="O45" s="2569"/>
      <c r="P45" s="222"/>
      <c r="Q45" s="222"/>
      <c r="R45" s="222"/>
      <c r="S45" s="222"/>
      <c r="T45" s="222"/>
      <c r="U45" s="222"/>
      <c r="V45" s="153"/>
      <c r="W45" s="153"/>
      <c r="X45" s="153"/>
      <c r="Y45" s="153"/>
      <c r="Z45" s="153"/>
      <c r="AA45" s="153"/>
      <c r="AB45" s="153"/>
      <c r="AE45" s="1707">
        <v>28</v>
      </c>
      <c r="AF45" s="1706">
        <v>22.973</v>
      </c>
      <c r="AG45" s="1705">
        <v>33.879</v>
      </c>
      <c r="AH45" s="118">
        <f t="shared" si="10"/>
        <v>5.6000000000000005</v>
      </c>
      <c r="AI45" s="118">
        <v>0.13</v>
      </c>
      <c r="AJ45" s="461">
        <f t="shared" si="9"/>
        <v>6.328</v>
      </c>
      <c r="AN45" s="109"/>
      <c r="AO45" s="344"/>
      <c r="AP45" s="2156" t="s">
        <v>493</v>
      </c>
      <c r="AQ45" s="2341" t="s">
        <v>574</v>
      </c>
      <c r="AR45" s="2341"/>
      <c r="AS45" s="1332">
        <v>1052.75</v>
      </c>
      <c r="AT45" s="2346" t="s">
        <v>73</v>
      </c>
      <c r="AU45" s="2347"/>
      <c r="AV45" s="2347"/>
      <c r="AW45" s="2347"/>
      <c r="AX45" s="2347"/>
      <c r="AY45" s="1710"/>
      <c r="AZ45" s="1710"/>
      <c r="BA45" s="2298" t="s">
        <v>1693</v>
      </c>
      <c r="BB45" s="2299"/>
      <c r="BC45" s="2090">
        <v>1056</v>
      </c>
      <c r="BD45" s="2091">
        <v>1056</v>
      </c>
      <c r="BE45" s="2055"/>
      <c r="BF45" s="113"/>
    </row>
    <row r="46" spans="1:58" ht="15" customHeight="1">
      <c r="A46" s="109"/>
      <c r="B46" s="230" t="s">
        <v>652</v>
      </c>
      <c r="C46" s="50">
        <v>2000</v>
      </c>
      <c r="D46" s="246" t="s">
        <v>629</v>
      </c>
      <c r="E46" s="269">
        <v>0</v>
      </c>
      <c r="F46" s="270">
        <v>1</v>
      </c>
      <c r="G46" s="269">
        <v>2</v>
      </c>
      <c r="H46" s="269">
        <v>3</v>
      </c>
      <c r="I46" s="269">
        <v>4</v>
      </c>
      <c r="J46" s="269">
        <v>5</v>
      </c>
      <c r="K46" s="269">
        <v>6</v>
      </c>
      <c r="L46" s="269">
        <v>7</v>
      </c>
      <c r="M46" s="269">
        <v>8</v>
      </c>
      <c r="N46" s="269">
        <v>9</v>
      </c>
      <c r="O46" s="269">
        <v>10</v>
      </c>
      <c r="P46" s="269">
        <v>11</v>
      </c>
      <c r="Q46" s="269">
        <v>12</v>
      </c>
      <c r="R46" s="269">
        <v>13</v>
      </c>
      <c r="S46" s="269">
        <v>14</v>
      </c>
      <c r="T46" s="269">
        <v>15</v>
      </c>
      <c r="U46" s="269">
        <v>16</v>
      </c>
      <c r="V46" s="269">
        <v>17</v>
      </c>
      <c r="W46" s="269">
        <v>18</v>
      </c>
      <c r="X46" s="269">
        <v>19</v>
      </c>
      <c r="Y46" s="269">
        <v>20</v>
      </c>
      <c r="Z46" s="269">
        <v>21</v>
      </c>
      <c r="AA46" s="269">
        <v>22</v>
      </c>
      <c r="AB46" s="269">
        <v>23</v>
      </c>
      <c r="AE46" s="1707">
        <v>29</v>
      </c>
      <c r="AF46" s="1706">
        <v>23.82</v>
      </c>
      <c r="AG46" s="1705">
        <v>35.033</v>
      </c>
      <c r="AH46" s="118">
        <f t="shared" si="10"/>
        <v>6.000000000000001</v>
      </c>
      <c r="AI46" s="118">
        <v>0.131</v>
      </c>
      <c r="AJ46" s="461">
        <f t="shared" si="9"/>
        <v>6.786000000000001</v>
      </c>
      <c r="AN46" s="109"/>
      <c r="AO46" s="344"/>
      <c r="AP46" s="201"/>
      <c r="AQ46" s="2341" t="s">
        <v>575</v>
      </c>
      <c r="AR46" s="2341"/>
      <c r="AS46" s="1332">
        <v>1008.861</v>
      </c>
      <c r="AT46" s="2346"/>
      <c r="AU46" s="2347"/>
      <c r="AV46" s="2347"/>
      <c r="AW46" s="2347"/>
      <c r="AX46" s="2347"/>
      <c r="AY46" s="1710"/>
      <c r="AZ46" s="1710"/>
      <c r="BA46" s="2298" t="s">
        <v>1694</v>
      </c>
      <c r="BB46" s="2472"/>
      <c r="BC46" s="2061">
        <f>(IF(BA42="","",IF(BC45="","",BC45+((1.313454-(0.132674*BA42)+(0.002057793*(BA42)^2)-(0.000002627634*(BA42^3)))))))-1</f>
        <v>1057.3507734755212</v>
      </c>
      <c r="BD46" s="2062">
        <f>(IF(BD44="","",IF(BD45="","",BD45+((1.313454-(0.132674*BD44)+(0.002057793*(BD44)^2)-(0.000002627634*(BD44^3)))))))-1</f>
        <v>1057.237545642032</v>
      </c>
      <c r="BE46" s="2055"/>
      <c r="BF46" s="113"/>
    </row>
    <row r="47" spans="1:58" ht="15" customHeight="1">
      <c r="A47" s="109"/>
      <c r="B47" s="216" t="s">
        <v>652</v>
      </c>
      <c r="C47" s="50">
        <v>450</v>
      </c>
      <c r="D47" s="298" t="s">
        <v>629</v>
      </c>
      <c r="E47" s="275">
        <f aca="true" t="shared" si="11" ref="E47:AB47">INT(E103)</f>
        <v>49</v>
      </c>
      <c r="F47" s="276">
        <f t="shared" si="11"/>
        <v>45</v>
      </c>
      <c r="G47" s="275">
        <f t="shared" si="11"/>
        <v>40</v>
      </c>
      <c r="H47" s="275">
        <f t="shared" si="11"/>
        <v>36</v>
      </c>
      <c r="I47" s="275">
        <f t="shared" si="11"/>
        <v>32</v>
      </c>
      <c r="J47" s="275">
        <f t="shared" si="11"/>
        <v>27</v>
      </c>
      <c r="K47" s="275">
        <f t="shared" si="11"/>
        <v>23</v>
      </c>
      <c r="L47" s="275">
        <f t="shared" si="11"/>
        <v>18</v>
      </c>
      <c r="M47" s="275">
        <f t="shared" si="11"/>
        <v>14</v>
      </c>
      <c r="N47" s="275">
        <f t="shared" si="11"/>
        <v>9</v>
      </c>
      <c r="O47" s="275">
        <f t="shared" si="11"/>
        <v>5</v>
      </c>
      <c r="P47" s="275">
        <f t="shared" si="11"/>
        <v>0</v>
      </c>
      <c r="Q47" s="275">
        <f t="shared" si="11"/>
        <v>-4</v>
      </c>
      <c r="R47" s="275">
        <f t="shared" si="11"/>
        <v>-8</v>
      </c>
      <c r="S47" s="275">
        <f t="shared" si="11"/>
        <v>-13</v>
      </c>
      <c r="T47" s="275">
        <f t="shared" si="11"/>
        <v>-17</v>
      </c>
      <c r="U47" s="275">
        <f t="shared" si="11"/>
        <v>-22</v>
      </c>
      <c r="V47" s="275">
        <f t="shared" si="11"/>
        <v>-26</v>
      </c>
      <c r="W47" s="275">
        <f t="shared" si="11"/>
        <v>-31</v>
      </c>
      <c r="X47" s="275">
        <f t="shared" si="11"/>
        <v>-35</v>
      </c>
      <c r="Y47" s="275">
        <f t="shared" si="11"/>
        <v>-40</v>
      </c>
      <c r="Z47" s="275">
        <f t="shared" si="11"/>
        <v>-44</v>
      </c>
      <c r="AA47" s="275">
        <f t="shared" si="11"/>
        <v>0</v>
      </c>
      <c r="AB47" s="275">
        <f t="shared" si="11"/>
        <v>-53</v>
      </c>
      <c r="AE47" s="1707">
        <v>30</v>
      </c>
      <c r="AF47" s="1706">
        <v>24.67</v>
      </c>
      <c r="AG47" s="1705">
        <v>36.181</v>
      </c>
      <c r="AH47" s="118">
        <f t="shared" si="10"/>
        <v>6.400000000000001</v>
      </c>
      <c r="AI47" s="118">
        <v>0.131</v>
      </c>
      <c r="AJ47" s="461">
        <f t="shared" si="9"/>
        <v>7.238400000000001</v>
      </c>
      <c r="AN47" s="109"/>
      <c r="AO47" s="344"/>
      <c r="AP47" s="201"/>
      <c r="AQ47" s="2341" t="s">
        <v>308</v>
      </c>
      <c r="AR47" s="2341"/>
      <c r="AS47" s="1308">
        <f>(AS45-AS46)/(7.7537-0.003742*(AS45-1000))</f>
        <v>5.808258647955064</v>
      </c>
      <c r="AT47" s="2346"/>
      <c r="AU47" s="2347"/>
      <c r="AV47" s="2347"/>
      <c r="AW47" s="2347"/>
      <c r="AX47" s="2347"/>
      <c r="AY47" s="153"/>
      <c r="AZ47" s="242"/>
      <c r="BA47" s="2278" t="s">
        <v>1695</v>
      </c>
      <c r="BB47" s="2279"/>
      <c r="BC47" s="2279"/>
      <c r="BD47" s="2279"/>
      <c r="BE47" s="2055"/>
      <c r="BF47" s="113"/>
    </row>
    <row r="48" spans="1:58" ht="15" customHeight="1" thickBot="1">
      <c r="A48" s="109"/>
      <c r="B48" s="222"/>
      <c r="C48" s="2504" t="s">
        <v>302</v>
      </c>
      <c r="D48" s="2504"/>
      <c r="E48" s="277">
        <f aca="true" t="shared" si="12" ref="E48:AB48">(E103-E47)*$C47</f>
        <v>350.00000000000034</v>
      </c>
      <c r="F48" s="278">
        <f t="shared" si="12"/>
        <v>150.00000000000108</v>
      </c>
      <c r="G48" s="277">
        <f t="shared" si="12"/>
        <v>399.9999999999986</v>
      </c>
      <c r="H48" s="277">
        <f t="shared" si="12"/>
        <v>199.9999999999993</v>
      </c>
      <c r="I48" s="277">
        <f t="shared" si="12"/>
        <v>-1.5987211554602254E-12</v>
      </c>
      <c r="J48" s="277">
        <f t="shared" si="12"/>
        <v>249.9999999999975</v>
      </c>
      <c r="K48" s="277">
        <f t="shared" si="12"/>
        <v>49.999999999998224</v>
      </c>
      <c r="L48" s="277">
        <f t="shared" si="12"/>
        <v>299.9999999999989</v>
      </c>
      <c r="M48" s="277">
        <f t="shared" si="12"/>
        <v>99.99999999999804</v>
      </c>
      <c r="N48" s="277">
        <f t="shared" si="12"/>
        <v>349.99999999999795</v>
      </c>
      <c r="O48" s="277">
        <f t="shared" si="12"/>
        <v>149.99999999999866</v>
      </c>
      <c r="P48" s="277">
        <f t="shared" si="12"/>
        <v>399.9999999999986</v>
      </c>
      <c r="Q48" s="277">
        <f t="shared" si="12"/>
        <v>199.9999999999987</v>
      </c>
      <c r="R48" s="277">
        <f t="shared" si="12"/>
        <v>-1.5987211554602254E-12</v>
      </c>
      <c r="S48" s="277">
        <f t="shared" si="12"/>
        <v>249.99999999999832</v>
      </c>
      <c r="T48" s="277">
        <f t="shared" si="12"/>
        <v>49.999999999998224</v>
      </c>
      <c r="U48" s="277">
        <f t="shared" si="12"/>
        <v>299.9999999999989</v>
      </c>
      <c r="V48" s="277">
        <f t="shared" si="12"/>
        <v>99.99999999999804</v>
      </c>
      <c r="W48" s="277">
        <f t="shared" si="12"/>
        <v>349.99999999999875</v>
      </c>
      <c r="X48" s="277">
        <f t="shared" si="12"/>
        <v>149.99999999999787</v>
      </c>
      <c r="Y48" s="277">
        <f t="shared" si="12"/>
        <v>399.9999999999986</v>
      </c>
      <c r="Z48" s="277">
        <f t="shared" si="12"/>
        <v>199.9999999999993</v>
      </c>
      <c r="AA48" s="277">
        <f t="shared" si="12"/>
        <v>0</v>
      </c>
      <c r="AB48" s="277">
        <f t="shared" si="12"/>
        <v>250.0000000000007</v>
      </c>
      <c r="AE48" s="1707">
        <v>31</v>
      </c>
      <c r="AF48" s="1706">
        <v>25.524</v>
      </c>
      <c r="AG48" s="1705">
        <v>37.323</v>
      </c>
      <c r="AH48" s="118">
        <f t="shared" si="10"/>
        <v>6.800000000000002</v>
      </c>
      <c r="AI48" s="118">
        <v>0.131</v>
      </c>
      <c r="AJ48" s="461">
        <f t="shared" si="9"/>
        <v>7.690800000000002</v>
      </c>
      <c r="AN48" s="109"/>
      <c r="AO48" s="344"/>
      <c r="AP48" s="4"/>
      <c r="AQ48" s="242"/>
      <c r="AR48" s="242"/>
      <c r="AS48" s="1334"/>
      <c r="AT48" s="107"/>
      <c r="AU48" s="107"/>
      <c r="AV48" s="107"/>
      <c r="AW48" s="107"/>
      <c r="AX48" s="107"/>
      <c r="AY48" s="153"/>
      <c r="AZ48" s="242"/>
      <c r="BA48" s="2280"/>
      <c r="BB48" s="2280"/>
      <c r="BC48" s="2280"/>
      <c r="BD48" s="2280"/>
      <c r="BE48" s="2055"/>
      <c r="BF48" s="113"/>
    </row>
    <row r="49" spans="1:58" ht="15" customHeight="1">
      <c r="A49" s="109"/>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E49" s="1707">
        <v>32</v>
      </c>
      <c r="AF49" s="1706">
        <v>26.382</v>
      </c>
      <c r="AG49" s="1705">
        <v>38.459</v>
      </c>
      <c r="AH49" s="118">
        <f t="shared" si="10"/>
        <v>7.200000000000002</v>
      </c>
      <c r="AI49" s="118">
        <v>0.131</v>
      </c>
      <c r="AJ49" s="461">
        <f t="shared" si="9"/>
        <v>8.143200000000002</v>
      </c>
      <c r="AN49" s="109"/>
      <c r="AO49" s="344"/>
      <c r="AP49" s="1335" t="s">
        <v>680</v>
      </c>
      <c r="AQ49" s="2341" t="s">
        <v>574</v>
      </c>
      <c r="AR49" s="2341"/>
      <c r="AS49" s="1332">
        <v>50</v>
      </c>
      <c r="AT49" s="2300" t="s">
        <v>681</v>
      </c>
      <c r="AU49" s="2344"/>
      <c r="AV49" s="2344"/>
      <c r="AW49" s="2344"/>
      <c r="AX49" s="2344"/>
      <c r="AY49" s="537"/>
      <c r="AZ49" s="537"/>
      <c r="BA49" s="2280"/>
      <c r="BB49" s="2280"/>
      <c r="BC49" s="2280"/>
      <c r="BD49" s="2280"/>
      <c r="BE49" s="2055"/>
      <c r="BF49" s="2082"/>
    </row>
    <row r="50" spans="1:58" ht="15" customHeight="1">
      <c r="A50" s="109"/>
      <c r="B50" s="2503" t="s">
        <v>516</v>
      </c>
      <c r="C50" s="2495"/>
      <c r="D50" s="2495"/>
      <c r="E50" s="2495"/>
      <c r="F50" s="2495"/>
      <c r="G50" s="306"/>
      <c r="H50" s="306"/>
      <c r="I50" s="306"/>
      <c r="J50" s="1785"/>
      <c r="K50" s="306"/>
      <c r="L50" s="306"/>
      <c r="M50" s="306"/>
      <c r="N50" s="306"/>
      <c r="O50" s="306"/>
      <c r="P50" s="222"/>
      <c r="Q50" s="222"/>
      <c r="R50" s="153"/>
      <c r="S50" s="153"/>
      <c r="T50" s="153"/>
      <c r="U50" s="153"/>
      <c r="V50" s="153"/>
      <c r="W50" s="153"/>
      <c r="X50" s="153"/>
      <c r="Y50" s="153"/>
      <c r="Z50" s="153"/>
      <c r="AA50" s="153"/>
      <c r="AB50" s="153"/>
      <c r="AE50" s="1707">
        <v>33</v>
      </c>
      <c r="AF50" s="1706">
        <v>27.242</v>
      </c>
      <c r="AG50" s="1705">
        <v>39.59</v>
      </c>
      <c r="AH50" s="118">
        <f t="shared" si="10"/>
        <v>7.600000000000002</v>
      </c>
      <c r="AI50" s="118">
        <v>0.132</v>
      </c>
      <c r="AJ50" s="461">
        <f t="shared" si="9"/>
        <v>8.603200000000003</v>
      </c>
      <c r="AN50" s="109"/>
      <c r="AO50" s="344"/>
      <c r="AP50" s="4"/>
      <c r="AQ50" s="2341" t="s">
        <v>575</v>
      </c>
      <c r="AR50" s="2341"/>
      <c r="AS50" s="1332">
        <v>8</v>
      </c>
      <c r="AT50" s="107"/>
      <c r="AU50" s="107"/>
      <c r="AV50" s="107"/>
      <c r="AW50" s="107"/>
      <c r="AX50" s="107"/>
      <c r="AY50" s="1711"/>
      <c r="AZ50" s="1711"/>
      <c r="BA50" s="1711"/>
      <c r="BB50" s="2056"/>
      <c r="BC50" s="2056"/>
      <c r="BD50" s="2056"/>
      <c r="BE50" s="2055"/>
      <c r="BF50" s="2082"/>
    </row>
    <row r="51" spans="1:58" ht="15" customHeight="1">
      <c r="A51" s="109"/>
      <c r="B51" s="1777"/>
      <c r="C51" s="1786">
        <f>M45</f>
        <v>22.4</v>
      </c>
      <c r="D51" s="2499" t="str">
        <f>" litres can fill 1 x  "&amp;FIXED(C46,-1)&amp;" ml bottle &amp; "&amp;FIXED(F47,0)&amp;" x "&amp;C47&amp;" ml  bottles, leaving "&amp;FIXED(F48,0)&amp;" ml.of waste beer."</f>
        <v> litres can fill 1 x  2,000 ml bottle &amp; 45 x 450 ml  bottles, leaving 150 ml.of waste beer.</v>
      </c>
      <c r="E51" s="2466"/>
      <c r="F51" s="2466"/>
      <c r="G51" s="2466"/>
      <c r="H51" s="2466"/>
      <c r="I51" s="2466"/>
      <c r="J51" s="2466"/>
      <c r="K51" s="2466"/>
      <c r="L51" s="2466"/>
      <c r="M51" s="2466"/>
      <c r="N51" s="2466"/>
      <c r="O51" s="2466"/>
      <c r="P51" s="249"/>
      <c r="Q51" s="222"/>
      <c r="R51" s="2568" t="str">
        <f>"It would be prudent to keep at least one (sterilized) "&amp;C46&amp;" ml bottle &amp; one "&amp;C47&amp;" ml bottle handy - 'just in case!' -  The voice of experience."</f>
        <v>It would be prudent to keep at least one (sterilized) 2000 ml bottle &amp; one 450 ml bottle handy - 'just in case!' -  The voice of experience.</v>
      </c>
      <c r="S51" s="2544"/>
      <c r="T51" s="2544"/>
      <c r="U51" s="2544"/>
      <c r="V51" s="2544"/>
      <c r="W51" s="2544"/>
      <c r="X51" s="2544"/>
      <c r="Y51" s="2544"/>
      <c r="Z51" s="2544"/>
      <c r="AA51" s="2544"/>
      <c r="AB51" s="283"/>
      <c r="AE51" s="1707">
        <v>34</v>
      </c>
      <c r="AF51" s="1706">
        <v>28.104</v>
      </c>
      <c r="AG51" s="1705">
        <v>40.716</v>
      </c>
      <c r="AH51" s="118">
        <f t="shared" si="10"/>
        <v>8.000000000000002</v>
      </c>
      <c r="AI51" s="118">
        <v>0.132</v>
      </c>
      <c r="AJ51" s="461">
        <f t="shared" si="9"/>
        <v>9.056000000000003</v>
      </c>
      <c r="AN51" s="109"/>
      <c r="AO51" s="344"/>
      <c r="AP51" s="4"/>
      <c r="AQ51" s="2341" t="s">
        <v>308</v>
      </c>
      <c r="AR51" s="2341"/>
      <c r="AS51" s="1308">
        <f>(AS49-AS50)/(7.7537-0.003742*AS49)</f>
        <v>5.550709697882801</v>
      </c>
      <c r="AT51" s="107"/>
      <c r="AU51" s="107"/>
      <c r="AV51" s="107"/>
      <c r="AW51" s="107"/>
      <c r="AX51" s="107"/>
      <c r="AY51" s="107"/>
      <c r="AZ51" s="107"/>
      <c r="BA51" s="107"/>
      <c r="BB51" s="153"/>
      <c r="BC51" s="153"/>
      <c r="BD51" s="2255"/>
      <c r="BE51" s="2252"/>
      <c r="BF51" s="2055"/>
    </row>
    <row r="52" spans="1:58" ht="15" customHeight="1">
      <c r="A52" s="109"/>
      <c r="B52" s="295" t="s">
        <v>444</v>
      </c>
      <c r="C52" s="1786">
        <f>M45</f>
        <v>22.4</v>
      </c>
      <c r="D52" s="2499" t="str">
        <f>" litres can fill 2 x  "&amp;FIXED(C46,-1)&amp;" ml bottles &amp; "&amp;FIXED(G47,0)&amp;" x "&amp;C47&amp;" ml bottles, leaving "&amp;FIXED(G48,0)&amp;" ml.of waste beer etc."</f>
        <v> litres can fill 2 x  2,000 ml bottles &amp; 40 x 450 ml bottles, leaving 400 ml.of waste beer etc.</v>
      </c>
      <c r="E52" s="2466"/>
      <c r="F52" s="2466"/>
      <c r="G52" s="2466"/>
      <c r="H52" s="2466"/>
      <c r="I52" s="2466"/>
      <c r="J52" s="2466"/>
      <c r="K52" s="2466"/>
      <c r="L52" s="2466"/>
      <c r="M52" s="2466"/>
      <c r="N52" s="2466"/>
      <c r="O52" s="2466"/>
      <c r="P52" s="249"/>
      <c r="Q52" s="222"/>
      <c r="R52" s="2544"/>
      <c r="S52" s="2544"/>
      <c r="T52" s="2544"/>
      <c r="U52" s="2544"/>
      <c r="V52" s="2544"/>
      <c r="W52" s="2544"/>
      <c r="X52" s="2544"/>
      <c r="Y52" s="2544"/>
      <c r="Z52" s="2544"/>
      <c r="AA52" s="2544"/>
      <c r="AB52" s="283"/>
      <c r="AC52" s="118"/>
      <c r="AD52" s="118"/>
      <c r="AE52" s="1707">
        <v>35</v>
      </c>
      <c r="AF52" s="1706">
        <v>28.971</v>
      </c>
      <c r="AG52" s="1705">
        <v>41.832</v>
      </c>
      <c r="AH52" s="118">
        <f t="shared" si="10"/>
        <v>8.400000000000002</v>
      </c>
      <c r="AI52" s="118">
        <v>0.132</v>
      </c>
      <c r="AJ52" s="461">
        <f t="shared" si="9"/>
        <v>9.508800000000003</v>
      </c>
      <c r="AN52" s="109"/>
      <c r="AO52" s="344"/>
      <c r="AP52" s="405"/>
      <c r="AQ52" s="347"/>
      <c r="AR52" s="347"/>
      <c r="AS52" s="347"/>
      <c r="AT52" s="107"/>
      <c r="AU52" s="107"/>
      <c r="AV52" s="107"/>
      <c r="AW52" s="107"/>
      <c r="AX52" s="107"/>
      <c r="AY52" s="2351" t="s">
        <v>1608</v>
      </c>
      <c r="AZ52" s="2351"/>
      <c r="BA52" s="2352"/>
      <c r="BB52" s="1310" t="s">
        <v>311</v>
      </c>
      <c r="BC52" s="1310" t="s">
        <v>291</v>
      </c>
      <c r="BD52" s="1308" t="s">
        <v>278</v>
      </c>
      <c r="BE52" s="2252"/>
      <c r="BF52" s="2055"/>
    </row>
    <row r="53" spans="1:58" ht="15" customHeight="1">
      <c r="A53" s="109"/>
      <c r="B53" s="295"/>
      <c r="C53" s="248"/>
      <c r="D53" s="249"/>
      <c r="E53" s="250"/>
      <c r="F53" s="300"/>
      <c r="G53" s="253"/>
      <c r="H53" s="253"/>
      <c r="I53" s="252"/>
      <c r="J53" s="300"/>
      <c r="K53" s="251"/>
      <c r="L53" s="249"/>
      <c r="M53" s="249"/>
      <c r="N53" s="254"/>
      <c r="O53" s="251"/>
      <c r="P53" s="249"/>
      <c r="Q53" s="222"/>
      <c r="R53" s="2497" t="s">
        <v>289</v>
      </c>
      <c r="S53" s="2498"/>
      <c r="T53" s="2498"/>
      <c r="U53" s="2498"/>
      <c r="V53" s="2498"/>
      <c r="W53" s="2498"/>
      <c r="X53" s="2498"/>
      <c r="Y53" s="2498"/>
      <c r="Z53" s="2498"/>
      <c r="AA53" s="2498"/>
      <c r="AB53" s="153"/>
      <c r="AC53" s="327" t="s">
        <v>490</v>
      </c>
      <c r="AD53" s="327" t="s">
        <v>490</v>
      </c>
      <c r="AE53" s="1707">
        <v>36</v>
      </c>
      <c r="AF53" s="1706">
        <v>29.842</v>
      </c>
      <c r="AG53" s="1705">
        <v>42.944</v>
      </c>
      <c r="AH53" s="118">
        <f t="shared" si="10"/>
        <v>8.800000000000002</v>
      </c>
      <c r="AI53" s="118">
        <v>0.132</v>
      </c>
      <c r="AJ53" s="461">
        <f t="shared" si="9"/>
        <v>9.961600000000004</v>
      </c>
      <c r="AN53" s="109"/>
      <c r="AO53" s="344"/>
      <c r="AP53" s="1336"/>
      <c r="AQ53" s="1336"/>
      <c r="AR53" s="1336"/>
      <c r="AS53" s="1336"/>
      <c r="AT53" s="1336"/>
      <c r="AU53" s="1336"/>
      <c r="AV53" s="1336"/>
      <c r="AW53" s="1336"/>
      <c r="AX53" s="1336"/>
      <c r="AY53" s="1336"/>
      <c r="AZ53" s="1336"/>
      <c r="BA53" s="1336"/>
      <c r="BB53" s="2222">
        <f>VLOOKUP(BC53,AE2:AF117,2)</f>
        <v>62.441</v>
      </c>
      <c r="BC53" s="2223">
        <v>70</v>
      </c>
      <c r="BD53" s="2222">
        <f>VLOOKUP(BC53,AE2:AG117,3)</f>
        <v>76.909</v>
      </c>
      <c r="BE53" s="2252"/>
      <c r="BF53" s="2055"/>
    </row>
    <row r="54" spans="1:58" ht="15" customHeight="1">
      <c r="A54" s="109"/>
      <c r="B54" s="153"/>
      <c r="C54" s="153"/>
      <c r="D54" s="153"/>
      <c r="E54" s="153"/>
      <c r="F54" s="153"/>
      <c r="G54" s="153"/>
      <c r="H54" s="153"/>
      <c r="I54" s="153"/>
      <c r="J54" s="153"/>
      <c r="K54" s="153"/>
      <c r="L54" s="153"/>
      <c r="M54" s="153"/>
      <c r="N54" s="153"/>
      <c r="O54" s="153"/>
      <c r="P54" s="153"/>
      <c r="Q54" s="153"/>
      <c r="R54" s="153"/>
      <c r="S54" s="296"/>
      <c r="T54" s="153"/>
      <c r="U54" s="153"/>
      <c r="V54" s="153"/>
      <c r="W54" s="153"/>
      <c r="X54" s="153"/>
      <c r="Y54" s="153"/>
      <c r="Z54" s="153"/>
      <c r="AA54" s="153"/>
      <c r="AB54" s="153"/>
      <c r="AC54" s="1422"/>
      <c r="AD54" s="1422"/>
      <c r="AE54" s="1707">
        <v>37</v>
      </c>
      <c r="AF54" s="1706">
        <v>30.717</v>
      </c>
      <c r="AG54" s="1705">
        <v>44.05</v>
      </c>
      <c r="AH54" s="1422">
        <f t="shared" si="10"/>
        <v>9.200000000000003</v>
      </c>
      <c r="AI54" s="1422">
        <v>0.132</v>
      </c>
      <c r="AJ54" s="1423">
        <f t="shared" si="9"/>
        <v>10.414400000000004</v>
      </c>
      <c r="AN54" s="109"/>
      <c r="AO54" s="344"/>
      <c r="AP54" s="2055"/>
      <c r="AQ54" s="2055"/>
      <c r="AR54" s="2055"/>
      <c r="AS54" s="2055"/>
      <c r="AT54" s="2055"/>
      <c r="AU54" s="2055"/>
      <c r="AV54" s="2055"/>
      <c r="AW54" s="2055"/>
      <c r="AX54" s="2055"/>
      <c r="AY54" s="2055"/>
      <c r="AZ54" s="2055"/>
      <c r="BA54" s="2055"/>
      <c r="BB54" s="2055"/>
      <c r="BC54" s="2055"/>
      <c r="BD54" s="2253"/>
      <c r="BE54" s="2252"/>
      <c r="BF54" s="2055"/>
    </row>
    <row r="55" spans="1:58" ht="15" customHeight="1">
      <c r="A55" s="4"/>
      <c r="B55" s="2494" t="s">
        <v>347</v>
      </c>
      <c r="C55" s="2495"/>
      <c r="D55" s="2495"/>
      <c r="E55" s="2495"/>
      <c r="F55" s="2495"/>
      <c r="G55" s="2495"/>
      <c r="H55" s="2495"/>
      <c r="I55" s="2500" t="s">
        <v>346</v>
      </c>
      <c r="J55" s="2500"/>
      <c r="K55" s="2500"/>
      <c r="L55" s="2500"/>
      <c r="M55" s="2500"/>
      <c r="N55" s="2500"/>
      <c r="O55" s="2500"/>
      <c r="P55" s="2500"/>
      <c r="Q55" s="2500"/>
      <c r="R55" s="2500"/>
      <c r="S55" s="153"/>
      <c r="T55" s="153"/>
      <c r="U55" s="153"/>
      <c r="V55" s="153"/>
      <c r="W55" s="153"/>
      <c r="X55" s="153"/>
      <c r="Y55" s="153"/>
      <c r="Z55" s="153"/>
      <c r="AA55" s="153"/>
      <c r="AB55" s="153"/>
      <c r="AC55" s="1422"/>
      <c r="AD55" s="1422"/>
      <c r="AE55" s="1707">
        <v>38</v>
      </c>
      <c r="AF55" s="1706">
        <v>31.506</v>
      </c>
      <c r="AG55" s="1705">
        <v>45.149</v>
      </c>
      <c r="AH55" s="1422">
        <f t="shared" si="10"/>
        <v>9.600000000000003</v>
      </c>
      <c r="AI55" s="1422">
        <v>0.132</v>
      </c>
      <c r="AJ55" s="1423">
        <f t="shared" si="9"/>
        <v>10.867200000000004</v>
      </c>
      <c r="AN55" s="109"/>
      <c r="AO55" s="344"/>
      <c r="AP55" s="201"/>
      <c r="AQ55" s="382"/>
      <c r="AR55" s="1337"/>
      <c r="AS55" s="1338"/>
      <c r="AT55" s="113"/>
      <c r="AU55" s="2351" t="s">
        <v>1607</v>
      </c>
      <c r="AV55" s="2351"/>
      <c r="AW55" s="2352"/>
      <c r="AX55" s="1306" t="s">
        <v>999</v>
      </c>
      <c r="AY55" s="2224" t="s">
        <v>1736</v>
      </c>
      <c r="AZ55" s="1310" t="s">
        <v>311</v>
      </c>
      <c r="BA55" s="2055"/>
      <c r="BB55" s="1306" t="s">
        <v>999</v>
      </c>
      <c r="BC55" s="2224" t="s">
        <v>1737</v>
      </c>
      <c r="BD55" s="2254" t="s">
        <v>311</v>
      </c>
      <c r="BE55" s="2252"/>
      <c r="BF55" s="2055"/>
    </row>
    <row r="56" spans="1:58" ht="15" customHeight="1">
      <c r="A56" s="109"/>
      <c r="B56" s="153"/>
      <c r="C56" s="11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84"/>
      <c r="AD56" s="84"/>
      <c r="AE56" s="1707">
        <v>39</v>
      </c>
      <c r="AF56" s="1706">
        <v>32.478</v>
      </c>
      <c r="AG56" s="1705">
        <v>46.242</v>
      </c>
      <c r="AH56" s="1422">
        <f t="shared" si="10"/>
        <v>10.000000000000004</v>
      </c>
      <c r="AI56" s="1422">
        <v>0.132</v>
      </c>
      <c r="AJ56" s="1423">
        <f t="shared" si="9"/>
        <v>11.320000000000006</v>
      </c>
      <c r="AN56" s="109"/>
      <c r="AO56" s="344"/>
      <c r="AP56" s="4"/>
      <c r="AQ56" s="4"/>
      <c r="AR56" s="4"/>
      <c r="AS56" s="4"/>
      <c r="AT56" s="153"/>
      <c r="AU56" s="107"/>
      <c r="AV56" s="107"/>
      <c r="AW56" s="107"/>
      <c r="AX56" s="1306">
        <f>AY56*7/4</f>
        <v>122.5</v>
      </c>
      <c r="AY56" s="1309">
        <v>70</v>
      </c>
      <c r="AZ56" s="1306">
        <f>AY56*4/7</f>
        <v>40</v>
      </c>
      <c r="BA56" s="2055"/>
      <c r="BB56" s="1306">
        <f>BC56*2</f>
        <v>140</v>
      </c>
      <c r="BC56" s="2223">
        <v>70</v>
      </c>
      <c r="BD56" s="2256">
        <f>BC56*0.5</f>
        <v>35</v>
      </c>
      <c r="BE56" s="2252"/>
      <c r="BF56" s="2055"/>
    </row>
    <row r="57" spans="1:58" ht="15" customHeight="1">
      <c r="A57" s="4"/>
      <c r="B57" s="153"/>
      <c r="C57" s="287"/>
      <c r="D57" s="287"/>
      <c r="E57" s="292"/>
      <c r="F57" s="287"/>
      <c r="G57" s="287"/>
      <c r="H57" s="153"/>
      <c r="I57" s="153"/>
      <c r="J57" s="153"/>
      <c r="K57" s="153"/>
      <c r="L57" s="153"/>
      <c r="M57" s="153"/>
      <c r="N57" s="153"/>
      <c r="O57" s="153"/>
      <c r="P57" s="153"/>
      <c r="Q57" s="153"/>
      <c r="R57" s="153"/>
      <c r="S57" s="153"/>
      <c r="T57" s="153"/>
      <c r="U57" s="153"/>
      <c r="V57" s="153"/>
      <c r="W57" s="153"/>
      <c r="X57" s="153"/>
      <c r="Y57" s="153"/>
      <c r="Z57" s="153"/>
      <c r="AA57" s="153"/>
      <c r="AB57" s="153"/>
      <c r="AC57" s="84"/>
      <c r="AD57" s="84"/>
      <c r="AE57" s="1707">
        <v>40</v>
      </c>
      <c r="AF57" s="1706">
        <v>33.364</v>
      </c>
      <c r="AG57" s="1705">
        <v>47.328</v>
      </c>
      <c r="AH57" s="1422">
        <f t="shared" si="10"/>
        <v>10.400000000000004</v>
      </c>
      <c r="AI57" s="1422">
        <v>0.132</v>
      </c>
      <c r="AJ57" s="1423">
        <f t="shared" si="9"/>
        <v>11.772800000000005</v>
      </c>
      <c r="AK57" s="327" t="s">
        <v>490</v>
      </c>
      <c r="AL57" s="327" t="s">
        <v>490</v>
      </c>
      <c r="AM57" s="327" t="s">
        <v>490</v>
      </c>
      <c r="AN57" s="153"/>
      <c r="AO57" s="2342" t="s">
        <v>640</v>
      </c>
      <c r="AP57" s="2342"/>
      <c r="AQ57" s="2055"/>
      <c r="AR57" s="2055"/>
      <c r="AS57" s="2055"/>
      <c r="AT57" s="2055"/>
      <c r="AU57" s="2055"/>
      <c r="AV57" s="2055"/>
      <c r="AW57" s="2055"/>
      <c r="AX57" s="2055"/>
      <c r="AY57" s="2055"/>
      <c r="AZ57" s="2055"/>
      <c r="BA57" s="2055"/>
      <c r="BB57" s="2055"/>
      <c r="BC57" s="2055"/>
      <c r="BD57" s="2252"/>
      <c r="BE57" s="2252"/>
      <c r="BF57" s="2055"/>
    </row>
    <row r="58" spans="1:58" ht="15" customHeight="1">
      <c r="A58" s="4"/>
      <c r="B58" s="291" t="s">
        <v>340</v>
      </c>
      <c r="C58" s="158">
        <v>4.725</v>
      </c>
      <c r="D58" s="331" t="s">
        <v>348</v>
      </c>
      <c r="E58" s="158">
        <v>1.5</v>
      </c>
      <c r="F58" s="2476" t="str">
        <f>"level 5ml tsp holds "&amp;FIXED(AA13*E58,3)&amp;" g sugar"</f>
        <v>level 5ml tsp holds 4.725 g sugar</v>
      </c>
      <c r="G58" s="2476"/>
      <c r="H58" s="2476"/>
      <c r="I58" s="2476"/>
      <c r="J58" s="2476"/>
      <c r="K58" s="287"/>
      <c r="L58" s="153"/>
      <c r="M58" s="153"/>
      <c r="N58" s="153"/>
      <c r="O58" s="153"/>
      <c r="P58" s="153"/>
      <c r="Q58" s="153"/>
      <c r="R58" s="153"/>
      <c r="S58" s="153"/>
      <c r="T58" s="153"/>
      <c r="U58" s="153"/>
      <c r="V58" s="153"/>
      <c r="W58" s="153"/>
      <c r="X58" s="153"/>
      <c r="Y58" s="153"/>
      <c r="Z58" s="4"/>
      <c r="AA58" s="4"/>
      <c r="AB58" s="4"/>
      <c r="AC58" s="84"/>
      <c r="AD58" s="84"/>
      <c r="AE58" s="1707">
        <v>41</v>
      </c>
      <c r="AF58" s="1706">
        <v>34.254</v>
      </c>
      <c r="AG58" s="1705">
        <v>48.407</v>
      </c>
      <c r="AH58" s="84"/>
      <c r="AI58" s="1422"/>
      <c r="AJ58" s="84"/>
      <c r="AN58" s="4"/>
      <c r="AO58" s="4"/>
      <c r="AP58" s="109"/>
      <c r="AQ58" s="2055"/>
      <c r="AR58" s="2055"/>
      <c r="AS58" s="2055"/>
      <c r="AT58" s="2055"/>
      <c r="AU58" s="2055"/>
      <c r="AV58" s="2055"/>
      <c r="AW58" s="2055"/>
      <c r="AX58" s="2055"/>
      <c r="AY58" s="2055"/>
      <c r="AZ58" s="2055"/>
      <c r="BA58" s="2055"/>
      <c r="BB58" s="2055"/>
      <c r="BC58" s="2055"/>
      <c r="BD58" s="2252"/>
      <c r="BE58" s="2252"/>
      <c r="BF58" s="2055"/>
    </row>
    <row r="59" spans="1:58" ht="15" customHeight="1">
      <c r="A59" s="201"/>
      <c r="B59" s="153"/>
      <c r="C59" s="242"/>
      <c r="D59" s="242"/>
      <c r="E59" s="293"/>
      <c r="F59" s="153"/>
      <c r="G59" s="153"/>
      <c r="H59" s="153"/>
      <c r="I59" s="153"/>
      <c r="J59" s="153"/>
      <c r="K59" s="153"/>
      <c r="L59" s="153"/>
      <c r="M59" s="153"/>
      <c r="N59" s="153"/>
      <c r="O59" s="153"/>
      <c r="P59" s="153"/>
      <c r="Q59" s="153"/>
      <c r="R59" s="153"/>
      <c r="S59" s="153"/>
      <c r="T59" s="201"/>
      <c r="U59" s="361"/>
      <c r="V59" s="201"/>
      <c r="W59" s="201"/>
      <c r="X59" s="201"/>
      <c r="Y59" s="201"/>
      <c r="Z59" s="201"/>
      <c r="AA59" s="201"/>
      <c r="AB59" s="201"/>
      <c r="AC59" s="84"/>
      <c r="AD59" s="84"/>
      <c r="AE59" s="1707">
        <v>42</v>
      </c>
      <c r="AF59" s="1706">
        <v>35.15</v>
      </c>
      <c r="AG59" s="1705">
        <v>49.48</v>
      </c>
      <c r="AH59" s="1422"/>
      <c r="AI59" s="1422"/>
      <c r="AJ59" s="84"/>
      <c r="AN59" s="201"/>
      <c r="AO59" s="4"/>
      <c r="AP59" s="1339" t="s">
        <v>536</v>
      </c>
      <c r="AQ59" s="1340" t="s">
        <v>537</v>
      </c>
      <c r="AR59" s="2331" t="s">
        <v>301</v>
      </c>
      <c r="AS59" s="2332"/>
      <c r="AT59" s="1341"/>
      <c r="AU59" s="153"/>
      <c r="AV59" s="2313" t="s">
        <v>514</v>
      </c>
      <c r="AW59" s="2313"/>
      <c r="AX59" s="2313"/>
      <c r="AY59" s="2313"/>
      <c r="AZ59" s="2313"/>
      <c r="BA59" s="2313"/>
      <c r="BB59" s="462"/>
      <c r="BC59" s="2344" t="s">
        <v>379</v>
      </c>
      <c r="BD59" s="2344"/>
      <c r="BE59" s="2344"/>
      <c r="BF59" s="2055"/>
    </row>
    <row r="60" spans="1:58" ht="15" customHeight="1">
      <c r="A60" s="201"/>
      <c r="B60" s="378"/>
      <c r="C60" s="242"/>
      <c r="D60" s="284"/>
      <c r="E60" s="285" t="s">
        <v>652</v>
      </c>
      <c r="F60" s="2338" t="s">
        <v>178</v>
      </c>
      <c r="G60" s="2339"/>
      <c r="H60" s="2338" t="s">
        <v>179</v>
      </c>
      <c r="I60" s="2339"/>
      <c r="J60" s="2338" t="s">
        <v>180</v>
      </c>
      <c r="K60" s="2339"/>
      <c r="L60" s="2338" t="s">
        <v>181</v>
      </c>
      <c r="M60" s="2339"/>
      <c r="N60" s="288">
        <v>0.45</v>
      </c>
      <c r="O60" s="286" t="s">
        <v>341</v>
      </c>
      <c r="P60" s="153"/>
      <c r="Q60" s="153"/>
      <c r="R60" s="153"/>
      <c r="S60" s="201"/>
      <c r="T60" s="201"/>
      <c r="U60" s="201"/>
      <c r="V60" s="201"/>
      <c r="W60" s="201"/>
      <c r="X60" s="201"/>
      <c r="Y60" s="201"/>
      <c r="Z60" s="201"/>
      <c r="AA60" s="201"/>
      <c r="AB60" s="201"/>
      <c r="AC60" s="84"/>
      <c r="AD60" s="84"/>
      <c r="AE60" s="1707">
        <v>43</v>
      </c>
      <c r="AF60" s="1706">
        <v>36.05</v>
      </c>
      <c r="AG60" s="1705">
        <v>50.545</v>
      </c>
      <c r="AH60" s="1424"/>
      <c r="AI60" s="1422"/>
      <c r="AJ60" s="84"/>
      <c r="AN60" s="201"/>
      <c r="AO60" s="4"/>
      <c r="AP60" s="2312" t="s">
        <v>540</v>
      </c>
      <c r="AQ60" s="1342" t="s">
        <v>530</v>
      </c>
      <c r="AR60" s="1343" t="s">
        <v>538</v>
      </c>
      <c r="AS60" s="1344" t="s">
        <v>539</v>
      </c>
      <c r="AT60" s="1341"/>
      <c r="AU60" s="153"/>
      <c r="AV60" s="2349" t="s">
        <v>197</v>
      </c>
      <c r="AW60" s="2349"/>
      <c r="AX60" s="2349" t="s">
        <v>682</v>
      </c>
      <c r="AY60" s="2349"/>
      <c r="AZ60" s="1715" t="s">
        <v>311</v>
      </c>
      <c r="BA60" s="1715" t="s">
        <v>510</v>
      </c>
      <c r="BB60" s="1716"/>
      <c r="BC60" s="540" t="s">
        <v>735</v>
      </c>
      <c r="BD60" s="2207">
        <v>10</v>
      </c>
      <c r="BE60" s="2350" t="s">
        <v>736</v>
      </c>
      <c r="BF60" s="2350"/>
    </row>
    <row r="61" spans="1:58" ht="15" customHeight="1">
      <c r="A61" s="201"/>
      <c r="B61" s="153"/>
      <c r="C61" s="242"/>
      <c r="D61" s="2282" t="s">
        <v>444</v>
      </c>
      <c r="E61" s="2283"/>
      <c r="F61" s="2343" t="s">
        <v>182</v>
      </c>
      <c r="G61" s="2337"/>
      <c r="H61" s="2343" t="s">
        <v>183</v>
      </c>
      <c r="I61" s="2337"/>
      <c r="J61" s="2343" t="s">
        <v>184</v>
      </c>
      <c r="K61" s="2337"/>
      <c r="L61" s="2343" t="s">
        <v>22</v>
      </c>
      <c r="M61" s="2337"/>
      <c r="N61" s="2343" t="str">
        <f>1000*N60&amp;" ml"</f>
        <v>450 ml</v>
      </c>
      <c r="O61" s="2337"/>
      <c r="P61" s="153"/>
      <c r="Q61" s="153"/>
      <c r="R61" s="153"/>
      <c r="S61" s="201"/>
      <c r="T61" s="201"/>
      <c r="U61" s="201"/>
      <c r="V61" s="201"/>
      <c r="W61" s="201"/>
      <c r="X61" s="201"/>
      <c r="Y61" s="201"/>
      <c r="Z61" s="201"/>
      <c r="AA61" s="201"/>
      <c r="AB61" s="201"/>
      <c r="AE61" s="1707">
        <v>44</v>
      </c>
      <c r="AF61" s="1706">
        <v>36.955</v>
      </c>
      <c r="AG61" s="1705">
        <v>51.605</v>
      </c>
      <c r="AJ61" s="328">
        <f>AR61*12+AS61</f>
        <v>73</v>
      </c>
      <c r="AK61" s="328" t="s">
        <v>529</v>
      </c>
      <c r="AL61" s="329">
        <f>0.0254*AJ61</f>
        <v>1.8541999999999998</v>
      </c>
      <c r="AM61" s="328" t="s">
        <v>530</v>
      </c>
      <c r="AN61" s="201"/>
      <c r="AO61" s="4"/>
      <c r="AP61" s="2312"/>
      <c r="AQ61" s="1345">
        <v>1.75</v>
      </c>
      <c r="AR61" s="1345">
        <v>6</v>
      </c>
      <c r="AS61" s="1346">
        <v>1</v>
      </c>
      <c r="AT61" s="255"/>
      <c r="AU61" s="4"/>
      <c r="AV61" s="1717" t="s">
        <v>306</v>
      </c>
      <c r="AW61" s="1718">
        <v>500</v>
      </c>
      <c r="AX61" s="2301">
        <v>1</v>
      </c>
      <c r="AY61" s="2301"/>
      <c r="AZ61" s="1309">
        <v>5</v>
      </c>
      <c r="BA61" s="1308">
        <f>(AW61*AZ61*AX61)/(100*BD$60)</f>
        <v>2.5</v>
      </c>
      <c r="BB61" s="1716"/>
      <c r="BC61" s="2208">
        <v>1</v>
      </c>
      <c r="BD61" s="2209" t="s">
        <v>925</v>
      </c>
      <c r="BE61" s="2210" t="str">
        <f>"=  "&amp;FIXED(BC61*568.3,0)&amp;"ml"</f>
        <v>=  568ml</v>
      </c>
      <c r="BF61" s="1716"/>
    </row>
    <row r="62" spans="1:58" ht="15" customHeight="1">
      <c r="A62" s="201"/>
      <c r="B62" s="153"/>
      <c r="C62" s="242"/>
      <c r="D62" s="284"/>
      <c r="E62" s="323" t="s">
        <v>339</v>
      </c>
      <c r="F62" s="2338" t="str">
        <f>FIXED(2*$C58,3)&amp;" g"</f>
        <v>9.450 g</v>
      </c>
      <c r="G62" s="2339"/>
      <c r="H62" s="2338" t="str">
        <f>FIXED(1*$C58,3)&amp;" g"</f>
        <v>4.725 g</v>
      </c>
      <c r="I62" s="2339"/>
      <c r="J62" s="2338" t="str">
        <f>FIXED(0.5*$C58,3)&amp;" g"</f>
        <v>2.363 g</v>
      </c>
      <c r="K62" s="2339"/>
      <c r="L62" s="2338" t="str">
        <f>FIXED(0.25*$C58,3)&amp;" g"</f>
        <v>1.181 g</v>
      </c>
      <c r="M62" s="2339"/>
      <c r="N62" s="2338" t="str">
        <f>FIXED(N60*$C58,3)&amp;" g"</f>
        <v>2.126 g</v>
      </c>
      <c r="O62" s="2339"/>
      <c r="P62" s="153"/>
      <c r="Q62" s="153"/>
      <c r="R62" s="153"/>
      <c r="S62" s="201"/>
      <c r="T62" s="201"/>
      <c r="U62" s="201"/>
      <c r="V62" s="201"/>
      <c r="W62" s="201"/>
      <c r="X62" s="201"/>
      <c r="Y62" s="201"/>
      <c r="Z62" s="201"/>
      <c r="AA62" s="201"/>
      <c r="AB62" s="201"/>
      <c r="AE62" s="1707">
        <v>45</v>
      </c>
      <c r="AF62" s="1706">
        <v>37.865</v>
      </c>
      <c r="AG62" s="1705">
        <v>52.658</v>
      </c>
      <c r="AJ62" s="461"/>
      <c r="AK62" s="118"/>
      <c r="AL62" s="118"/>
      <c r="AM62" s="118"/>
      <c r="AN62" s="201"/>
      <c r="AO62" s="4"/>
      <c r="AP62" s="2317" t="s">
        <v>499</v>
      </c>
      <c r="AQ62" s="1347" t="s">
        <v>532</v>
      </c>
      <c r="AR62" s="1347" t="s">
        <v>541</v>
      </c>
      <c r="AS62" s="1348" t="s">
        <v>531</v>
      </c>
      <c r="AT62" s="255"/>
      <c r="AU62" s="4"/>
      <c r="AV62" s="1349" t="s">
        <v>683</v>
      </c>
      <c r="AW62" s="1718">
        <v>1</v>
      </c>
      <c r="AX62" s="2301">
        <v>1</v>
      </c>
      <c r="AY62" s="2301"/>
      <c r="AZ62" s="1309">
        <v>5</v>
      </c>
      <c r="BA62" s="1308">
        <f>(AW62*568.3*AZ62*AX62)/(100*BD$60)</f>
        <v>2.8415</v>
      </c>
      <c r="BB62" s="1716"/>
      <c r="BC62" s="2211">
        <v>1</v>
      </c>
      <c r="BD62" s="2212" t="s">
        <v>926</v>
      </c>
      <c r="BE62" s="2213" t="str">
        <f>"=  "&amp;FIXED(BC62*473,0)&amp;"ml"</f>
        <v>=  473ml</v>
      </c>
      <c r="BF62" s="1716"/>
    </row>
    <row r="63" spans="1:58" ht="15" customHeight="1">
      <c r="A63" s="201"/>
      <c r="B63" s="153"/>
      <c r="C63" s="242"/>
      <c r="D63" s="2282" t="s">
        <v>444</v>
      </c>
      <c r="E63" s="2283"/>
      <c r="F63" s="2343" t="str">
        <f>FIXED(2*$C58/AA$13)&amp;" tsp"</f>
        <v>3.00 tsp</v>
      </c>
      <c r="G63" s="2337"/>
      <c r="H63" s="2343" t="str">
        <f>FIXED(1*$C58/AA$13)&amp;" tsp"</f>
        <v>1.50 tsp</v>
      </c>
      <c r="I63" s="2337"/>
      <c r="J63" s="2343" t="str">
        <f>FIXED(0.5*$C58/AA$13)&amp;" tsp"</f>
        <v>0.75 tsp</v>
      </c>
      <c r="K63" s="2337"/>
      <c r="L63" s="2343" t="str">
        <f>FIXED(0.25*$C58/AA$13)&amp;" tsp"</f>
        <v>0.38 tsp</v>
      </c>
      <c r="M63" s="2337"/>
      <c r="N63" s="2343" t="str">
        <f>FIXED(N60*$C58/AA$13)&amp;" tsp"</f>
        <v>0.68 tsp</v>
      </c>
      <c r="O63" s="2337"/>
      <c r="P63" s="153"/>
      <c r="Q63" s="153"/>
      <c r="R63" s="153"/>
      <c r="S63" s="201"/>
      <c r="T63" s="201"/>
      <c r="U63" s="201"/>
      <c r="V63" s="201"/>
      <c r="W63" s="201"/>
      <c r="X63" s="201"/>
      <c r="Y63" s="201"/>
      <c r="Z63" s="201"/>
      <c r="AA63" s="201"/>
      <c r="AB63" s="201"/>
      <c r="AE63" s="1707">
        <v>46</v>
      </c>
      <c r="AF63" s="1706">
        <v>38.778</v>
      </c>
      <c r="AG63" s="1705">
        <v>53.705</v>
      </c>
      <c r="AJ63" s="328">
        <f>14*AR63+AS63</f>
        <v>176</v>
      </c>
      <c r="AK63" s="328" t="s">
        <v>535</v>
      </c>
      <c r="AL63" s="329">
        <f>0.454*AJ63</f>
        <v>79.904</v>
      </c>
      <c r="AM63" s="328" t="s">
        <v>532</v>
      </c>
      <c r="AN63" s="201"/>
      <c r="AO63" s="4"/>
      <c r="AP63" s="2318"/>
      <c r="AQ63" s="1350">
        <v>76.4</v>
      </c>
      <c r="AR63" s="1350">
        <v>12</v>
      </c>
      <c r="AS63" s="1351">
        <v>8</v>
      </c>
      <c r="AT63" s="255"/>
      <c r="AU63" s="4"/>
      <c r="AV63" s="1349" t="s">
        <v>684</v>
      </c>
      <c r="AW63" s="1718">
        <v>12</v>
      </c>
      <c r="AX63" s="2301">
        <v>1</v>
      </c>
      <c r="AY63" s="2301"/>
      <c r="AZ63" s="1309">
        <v>5</v>
      </c>
      <c r="BA63" s="1308">
        <f>(AW63*AX63*AZ63/0.0338)/(100*BD$60)</f>
        <v>1.775147928994083</v>
      </c>
      <c r="BB63" s="1716"/>
      <c r="BC63" s="2208">
        <v>12</v>
      </c>
      <c r="BD63" s="2214" t="s">
        <v>927</v>
      </c>
      <c r="BE63" s="2215" t="str">
        <f>"=  "&amp;FIXED(BC63*29.5735,0)&amp;"ml"</f>
        <v>=  355ml</v>
      </c>
      <c r="BF63" s="1716"/>
    </row>
    <row r="64" spans="1:58" ht="15" customHeight="1">
      <c r="A64" s="201"/>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E64" s="1707">
        <v>47</v>
      </c>
      <c r="AF64" s="1706">
        <v>39.697</v>
      </c>
      <c r="AG64" s="1705">
        <v>54.746</v>
      </c>
      <c r="AJ64" s="84"/>
      <c r="AK64" s="1198"/>
      <c r="AL64" s="1198"/>
      <c r="AM64" s="119"/>
      <c r="AN64" s="201"/>
      <c r="AO64" s="4"/>
      <c r="AP64" s="1352" t="s">
        <v>282</v>
      </c>
      <c r="AQ64" s="1353">
        <f>AQ63/(AQ61*AQ61)</f>
        <v>24.946938775510205</v>
      </c>
      <c r="AR64" s="2304">
        <f>AL63/(AL61*AL61)</f>
        <v>23.241029780989948</v>
      </c>
      <c r="AS64" s="2305"/>
      <c r="AT64" s="255"/>
      <c r="AU64" s="4"/>
      <c r="AV64" s="2348" t="s">
        <v>641</v>
      </c>
      <c r="AW64" s="2348"/>
      <c r="AX64" s="2348"/>
      <c r="AY64" s="2348"/>
      <c r="AZ64" s="2348"/>
      <c r="BA64" s="2348"/>
      <c r="BB64" s="2348"/>
      <c r="BC64" s="2348"/>
      <c r="BD64" s="2348"/>
      <c r="BE64" s="531"/>
      <c r="BF64" s="1716"/>
    </row>
    <row r="65" spans="1:58" ht="15" customHeight="1">
      <c r="A65" s="201"/>
      <c r="B65" s="201"/>
      <c r="C65" s="357"/>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E65" s="1707">
        <v>48</v>
      </c>
      <c r="AF65" s="1706">
        <v>40.622</v>
      </c>
      <c r="AG65" s="1705">
        <v>55.78</v>
      </c>
      <c r="AJ65" s="84"/>
      <c r="AK65" s="1198"/>
      <c r="AL65" s="1198"/>
      <c r="AM65" s="119"/>
      <c r="AN65" s="277"/>
      <c r="AO65" s="4"/>
      <c r="AP65" s="1354" t="s">
        <v>60</v>
      </c>
      <c r="AQ65" s="2311" t="s">
        <v>40</v>
      </c>
      <c r="AR65" s="2302"/>
      <c r="AS65" s="2303"/>
      <c r="AT65" s="255"/>
      <c r="AU65" s="4"/>
      <c r="AV65" s="2348" t="s">
        <v>276</v>
      </c>
      <c r="AW65" s="2348"/>
      <c r="AX65" s="2348"/>
      <c r="AY65" s="2348"/>
      <c r="AZ65" s="2348"/>
      <c r="BA65" s="2348"/>
      <c r="BB65" s="2348"/>
      <c r="BC65" s="2348"/>
      <c r="BD65" s="2348"/>
      <c r="BE65" s="531"/>
      <c r="BF65" s="1716"/>
    </row>
    <row r="66" spans="1:58" ht="15" customHeight="1">
      <c r="A66" s="2281" t="s">
        <v>231</v>
      </c>
      <c r="B66" s="2281"/>
      <c r="C66" s="201"/>
      <c r="D66" s="201"/>
      <c r="E66" s="201"/>
      <c r="F66" s="201"/>
      <c r="G66" s="344"/>
      <c r="H66" s="344"/>
      <c r="I66" s="344"/>
      <c r="J66" s="201"/>
      <c r="K66" s="201"/>
      <c r="L66" s="201"/>
      <c r="M66" s="201"/>
      <c r="N66" s="201"/>
      <c r="O66" s="201"/>
      <c r="P66" s="201"/>
      <c r="Q66" s="201"/>
      <c r="R66" s="201"/>
      <c r="S66" s="201"/>
      <c r="T66" s="201"/>
      <c r="U66" s="201"/>
      <c r="V66" s="201"/>
      <c r="W66" s="201"/>
      <c r="X66" s="201"/>
      <c r="Y66" s="201"/>
      <c r="Z66" s="201"/>
      <c r="AA66" s="201"/>
      <c r="AB66" s="201"/>
      <c r="AE66" s="1707">
        <v>49</v>
      </c>
      <c r="AF66" s="1706">
        <v>41.551</v>
      </c>
      <c r="AG66" s="1705">
        <v>56.808</v>
      </c>
      <c r="AJ66" s="84"/>
      <c r="AK66" s="1425"/>
      <c r="AL66" s="1198"/>
      <c r="AM66" s="119"/>
      <c r="AN66" s="201"/>
      <c r="AO66" s="4"/>
      <c r="AP66" s="1355" t="s">
        <v>58</v>
      </c>
      <c r="AQ66" s="2333" t="s">
        <v>41</v>
      </c>
      <c r="AR66" s="2334"/>
      <c r="AS66" s="2335"/>
      <c r="AT66" s="255"/>
      <c r="AU66" s="4"/>
      <c r="AV66" s="2348" t="s">
        <v>314</v>
      </c>
      <c r="AW66" s="2348"/>
      <c r="AX66" s="2348"/>
      <c r="AY66" s="2348"/>
      <c r="AZ66" s="2348"/>
      <c r="BA66" s="2348"/>
      <c r="BB66" s="2348"/>
      <c r="BC66" s="2348"/>
      <c r="BD66" s="2348"/>
      <c r="BE66" s="531"/>
      <c r="BF66" s="1716"/>
    </row>
    <row r="67" spans="1:58" ht="15" customHeight="1">
      <c r="A67" s="201"/>
      <c r="B67" s="201"/>
      <c r="C67" s="290"/>
      <c r="D67" s="201"/>
      <c r="E67" s="344"/>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E67" s="1707">
        <v>50</v>
      </c>
      <c r="AF67" s="1706">
        <v>42.487</v>
      </c>
      <c r="AG67" s="1705">
        <v>57.83</v>
      </c>
      <c r="AJ67" s="84"/>
      <c r="AK67" s="1425"/>
      <c r="AL67" s="1198"/>
      <c r="AM67" s="119"/>
      <c r="AN67" s="201"/>
      <c r="AO67" s="4"/>
      <c r="AP67" s="1356" t="s">
        <v>57</v>
      </c>
      <c r="AQ67" s="2319" t="s">
        <v>42</v>
      </c>
      <c r="AR67" s="2320"/>
      <c r="AS67" s="2307"/>
      <c r="AT67" s="255"/>
      <c r="AU67" s="4"/>
      <c r="AV67" s="109"/>
      <c r="AW67" s="109"/>
      <c r="AX67" s="109"/>
      <c r="AY67" s="4"/>
      <c r="AZ67" s="4"/>
      <c r="BA67" s="4"/>
      <c r="BB67" s="185"/>
      <c r="BC67" s="4"/>
      <c r="BD67" s="4"/>
      <c r="BE67" s="4"/>
      <c r="BF67" s="1716"/>
    </row>
    <row r="68" spans="1:58" ht="15" customHeight="1">
      <c r="A68" s="201"/>
      <c r="B68" s="2275" t="s">
        <v>185</v>
      </c>
      <c r="C68" s="2276"/>
      <c r="D68" s="2277" t="s">
        <v>656</v>
      </c>
      <c r="E68" s="2270"/>
      <c r="F68" s="2271"/>
      <c r="G68" s="224">
        <v>1</v>
      </c>
      <c r="H68" s="225">
        <v>2</v>
      </c>
      <c r="I68" s="225">
        <v>5</v>
      </c>
      <c r="J68" s="225">
        <v>10</v>
      </c>
      <c r="K68" s="225">
        <v>20</v>
      </c>
      <c r="L68" s="225">
        <v>50</v>
      </c>
      <c r="M68" s="225">
        <v>100</v>
      </c>
      <c r="N68" s="225">
        <v>200</v>
      </c>
      <c r="O68" s="2315" t="s">
        <v>46</v>
      </c>
      <c r="P68" s="2316"/>
      <c r="Q68" s="2316"/>
      <c r="R68" s="2316"/>
      <c r="S68" s="2316"/>
      <c r="T68" s="201"/>
      <c r="U68" s="201"/>
      <c r="V68" s="201"/>
      <c r="W68" s="201"/>
      <c r="X68" s="201"/>
      <c r="Y68" s="201"/>
      <c r="Z68" s="201"/>
      <c r="AA68"/>
      <c r="AB68" s="201"/>
      <c r="AE68" s="1707">
        <v>51</v>
      </c>
      <c r="AF68" s="1706">
        <v>43.428</v>
      </c>
      <c r="AG68" s="1707">
        <v>58.844</v>
      </c>
      <c r="AJ68" s="84"/>
      <c r="AK68" s="1198"/>
      <c r="AL68" s="1198"/>
      <c r="AM68" s="119"/>
      <c r="AN68" s="289"/>
      <c r="AO68" s="4"/>
      <c r="AP68" s="1357" t="s">
        <v>59</v>
      </c>
      <c r="AQ68" s="2290" t="s">
        <v>43</v>
      </c>
      <c r="AR68" s="2290"/>
      <c r="AS68" s="2290"/>
      <c r="AT68" s="2308" t="s">
        <v>26</v>
      </c>
      <c r="AU68" s="2309"/>
      <c r="AV68" s="2309"/>
      <c r="AW68" s="2310"/>
      <c r="AX68" s="1358" t="s">
        <v>538</v>
      </c>
      <c r="AY68" s="1358" t="s">
        <v>539</v>
      </c>
      <c r="AZ68" s="1306" t="s">
        <v>737</v>
      </c>
      <c r="BA68" s="1306" t="s">
        <v>530</v>
      </c>
      <c r="BB68" s="113"/>
      <c r="BC68" s="1324" t="s">
        <v>530</v>
      </c>
      <c r="BD68" s="1306" t="s">
        <v>737</v>
      </c>
      <c r="BE68" s="1306" t="s">
        <v>738</v>
      </c>
      <c r="BF68" s="1716"/>
    </row>
    <row r="69" spans="1:58" ht="15" customHeight="1">
      <c r="A69" s="201"/>
      <c r="B69" s="289"/>
      <c r="C69" s="201"/>
      <c r="D69" s="2525" t="s">
        <v>323</v>
      </c>
      <c r="E69" s="2526"/>
      <c r="F69" s="2527"/>
      <c r="G69" s="256">
        <v>3.56</v>
      </c>
      <c r="H69" s="256">
        <v>7.13</v>
      </c>
      <c r="I69" s="256">
        <v>3.25</v>
      </c>
      <c r="J69" s="257">
        <v>6.5</v>
      </c>
      <c r="K69" s="257">
        <v>5</v>
      </c>
      <c r="L69" s="257">
        <v>8</v>
      </c>
      <c r="M69" s="257">
        <v>9.5</v>
      </c>
      <c r="N69" s="257">
        <v>12</v>
      </c>
      <c r="O69" s="2315" t="s">
        <v>45</v>
      </c>
      <c r="P69" s="2316"/>
      <c r="Q69" s="2316"/>
      <c r="R69" s="2316"/>
      <c r="S69" s="2316"/>
      <c r="T69" s="201"/>
      <c r="U69" s="201"/>
      <c r="V69" s="201"/>
      <c r="W69" s="201"/>
      <c r="X69" s="201"/>
      <c r="Y69" s="201"/>
      <c r="Z69" s="201"/>
      <c r="AA69" s="201"/>
      <c r="AB69" s="201"/>
      <c r="AE69" s="1707">
        <v>52</v>
      </c>
      <c r="AF69" s="1706">
        <v>44.374</v>
      </c>
      <c r="AG69" s="1707">
        <v>59.852</v>
      </c>
      <c r="AJ69" s="84"/>
      <c r="AK69" s="1198"/>
      <c r="AL69" s="1198"/>
      <c r="AM69" s="119"/>
      <c r="AN69" s="289"/>
      <c r="AO69" s="4"/>
      <c r="AP69" s="2340" t="s">
        <v>685</v>
      </c>
      <c r="AQ69" s="2340"/>
      <c r="AR69" s="2340"/>
      <c r="AS69" s="2340"/>
      <c r="AT69" s="109"/>
      <c r="AU69" s="109"/>
      <c r="AV69" s="109"/>
      <c r="AW69" s="109"/>
      <c r="AX69" s="1359">
        <v>6</v>
      </c>
      <c r="AY69" s="1359">
        <v>1</v>
      </c>
      <c r="AZ69" s="1306">
        <f>(AX69*12+AY69)</f>
        <v>73</v>
      </c>
      <c r="BA69" s="1545">
        <f>(AX69*12+AY69)*0.0254</f>
        <v>1.8541999999999998</v>
      </c>
      <c r="BB69" s="1431"/>
      <c r="BC69" s="1309">
        <v>1.533</v>
      </c>
      <c r="BD69" s="1360" t="str">
        <f>FIXED(BC69*39.37,1)&amp;" in"</f>
        <v>60.4 in</v>
      </c>
      <c r="BE69" s="1310" t="str">
        <f>INT(BC69*39.37/12)&amp;" ft  "&amp;FIXED(MOD(BC69*39.37,12),1)&amp;""</f>
        <v>5 ft  0.4</v>
      </c>
      <c r="BF69" s="1716"/>
    </row>
    <row r="70" spans="1:58" ht="15" customHeight="1">
      <c r="A70" s="201"/>
      <c r="B70" s="36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E70" s="1707">
        <v>53</v>
      </c>
      <c r="AF70" s="1706">
        <v>45.326</v>
      </c>
      <c r="AG70" s="1707">
        <v>60.854</v>
      </c>
      <c r="AJ70" s="84"/>
      <c r="AK70" s="1198"/>
      <c r="AL70" s="1198"/>
      <c r="AM70" s="119"/>
      <c r="AN70" s="201"/>
      <c r="AO70" s="4"/>
      <c r="AQ70" s="109"/>
      <c r="AR70" s="4"/>
      <c r="AS70" s="4"/>
      <c r="AT70" s="4"/>
      <c r="AU70" s="4"/>
      <c r="AV70" s="109"/>
      <c r="AW70" s="109"/>
      <c r="AX70" s="109"/>
      <c r="AY70" s="109"/>
      <c r="AZ70" s="109"/>
      <c r="BA70" s="109"/>
      <c r="BC70" s="185"/>
      <c r="BD70" s="185"/>
      <c r="BE70" s="185"/>
      <c r="BF70" s="1716"/>
    </row>
    <row r="71" spans="1:58" ht="15" customHeight="1">
      <c r="A71" s="201"/>
      <c r="B71" s="201"/>
      <c r="C71" s="357"/>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E71" s="1707">
        <v>54</v>
      </c>
      <c r="AF71" s="1706">
        <v>46.283</v>
      </c>
      <c r="AG71" s="1707">
        <v>61.85</v>
      </c>
      <c r="AJ71" s="84"/>
      <c r="AK71" s="1198"/>
      <c r="AL71" s="1198"/>
      <c r="AM71" s="119"/>
      <c r="AN71" s="201"/>
      <c r="AO71" s="1361"/>
      <c r="AP71" s="4"/>
      <c r="AQ71" s="4"/>
      <c r="AR71" s="4"/>
      <c r="AS71" s="4"/>
      <c r="AT71" s="4"/>
      <c r="AV71" s="109"/>
      <c r="AW71" s="109"/>
      <c r="AX71" s="109"/>
      <c r="AY71" s="4"/>
      <c r="AZ71" s="4"/>
      <c r="BA71" s="4"/>
      <c r="BB71" s="185"/>
      <c r="BC71" s="185"/>
      <c r="BD71" s="1430"/>
      <c r="BE71" s="1430"/>
      <c r="BF71" s="1716"/>
    </row>
    <row r="72" spans="1:58" ht="15" customHeight="1">
      <c r="A72" s="201"/>
      <c r="B72" s="2155" t="s">
        <v>144</v>
      </c>
      <c r="C72" s="113"/>
      <c r="D72" s="153"/>
      <c r="E72" s="153"/>
      <c r="F72" s="153"/>
      <c r="G72" s="153"/>
      <c r="H72" s="153"/>
      <c r="I72" s="153"/>
      <c r="J72" s="153"/>
      <c r="K72" s="153"/>
      <c r="L72" s="153"/>
      <c r="M72" s="153"/>
      <c r="N72" s="201"/>
      <c r="O72" s="201"/>
      <c r="P72" s="201"/>
      <c r="Q72" s="201"/>
      <c r="R72" s="201"/>
      <c r="S72" s="201"/>
      <c r="T72" s="201"/>
      <c r="U72" s="201"/>
      <c r="V72" s="201"/>
      <c r="W72" s="201"/>
      <c r="X72" s="201"/>
      <c r="Y72" s="201"/>
      <c r="Z72" s="201"/>
      <c r="AA72" s="201"/>
      <c r="AB72" s="201"/>
      <c r="AE72" s="1707">
        <v>55</v>
      </c>
      <c r="AF72" s="1706">
        <v>47.245</v>
      </c>
      <c r="AG72" s="1707">
        <v>62.837</v>
      </c>
      <c r="AJ72" s="84"/>
      <c r="AK72" s="1198"/>
      <c r="AL72" s="1198"/>
      <c r="AM72" s="119"/>
      <c r="AN72" s="201"/>
      <c r="AO72" s="2330" t="s">
        <v>386</v>
      </c>
      <c r="AP72" s="2330"/>
      <c r="AQ72" s="2330"/>
      <c r="AR72" s="2314" t="s">
        <v>686</v>
      </c>
      <c r="AS72" s="2314"/>
      <c r="AT72" s="2314"/>
      <c r="AU72" s="2314"/>
      <c r="AV72" s="2314"/>
      <c r="AW72" s="2314"/>
      <c r="AX72" s="2314"/>
      <c r="AY72" s="2314"/>
      <c r="AZ72" s="2314"/>
      <c r="BA72" s="2314"/>
      <c r="BB72" s="2314"/>
      <c r="BC72" s="1299"/>
      <c r="BD72" s="1299"/>
      <c r="BE72" s="4"/>
      <c r="BF72" s="1716"/>
    </row>
    <row r="73" spans="1:58" ht="15" customHeight="1">
      <c r="A73" s="201"/>
      <c r="B73" s="153"/>
      <c r="C73" s="11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18"/>
      <c r="AD73" s="118"/>
      <c r="AE73" s="1707">
        <v>56</v>
      </c>
      <c r="AF73" s="1706">
        <v>48.214</v>
      </c>
      <c r="AG73" s="1707">
        <v>63.82</v>
      </c>
      <c r="AJ73" s="84"/>
      <c r="AK73" s="1422"/>
      <c r="AL73" s="1422"/>
      <c r="AM73" s="118"/>
      <c r="AN73" s="153"/>
      <c r="AO73" s="4"/>
      <c r="AP73" s="368" t="s">
        <v>387</v>
      </c>
      <c r="AQ73" s="369"/>
      <c r="AR73" s="369"/>
      <c r="AS73" s="369"/>
      <c r="AT73" s="369"/>
      <c r="AU73" s="369"/>
      <c r="AV73" s="369"/>
      <c r="AW73" s="369"/>
      <c r="AX73" s="1362"/>
      <c r="AY73" s="369"/>
      <c r="AZ73" s="369"/>
      <c r="BA73" s="369"/>
      <c r="BB73" s="369"/>
      <c r="BC73" s="369"/>
      <c r="BD73" s="369"/>
      <c r="BE73" s="369"/>
      <c r="BF73" s="1716"/>
    </row>
    <row r="74" spans="1:58" ht="15" customHeight="1">
      <c r="A74" s="201"/>
      <c r="B74" s="2396" t="s">
        <v>146</v>
      </c>
      <c r="C74" s="2396"/>
      <c r="D74" s="2396"/>
      <c r="E74" s="2396"/>
      <c r="F74" s="2396"/>
      <c r="G74" s="2396"/>
      <c r="H74" s="2396"/>
      <c r="I74" s="2396"/>
      <c r="J74" s="2396"/>
      <c r="K74" s="2396"/>
      <c r="L74" s="1031"/>
      <c r="M74" s="1031"/>
      <c r="N74" s="1031"/>
      <c r="O74" s="1031"/>
      <c r="P74" s="1031"/>
      <c r="Q74" s="1031"/>
      <c r="R74" s="1031"/>
      <c r="S74" s="1031"/>
      <c r="T74" s="1031"/>
      <c r="U74" s="1031"/>
      <c r="V74" s="1031"/>
      <c r="W74" s="1031"/>
      <c r="X74" s="1031"/>
      <c r="Y74" s="1031"/>
      <c r="Z74" s="1031"/>
      <c r="AA74" s="1031"/>
      <c r="AB74" s="1031"/>
      <c r="AC74" s="1031"/>
      <c r="AD74" s="1031"/>
      <c r="AE74" s="1031">
        <v>57</v>
      </c>
      <c r="AF74" s="1031">
        <v>49.187</v>
      </c>
      <c r="AG74" s="1031">
        <v>64.798</v>
      </c>
      <c r="AH74" s="1031"/>
      <c r="AI74" s="1031"/>
      <c r="AJ74" s="1031"/>
      <c r="AK74" s="1031"/>
      <c r="AL74" s="1031"/>
      <c r="AM74" s="1031"/>
      <c r="AN74" s="1031"/>
      <c r="AO74" s="1031"/>
      <c r="AP74" s="2273" t="s">
        <v>61</v>
      </c>
      <c r="AQ74" s="2274"/>
      <c r="AR74" s="2261" t="s">
        <v>337</v>
      </c>
      <c r="AS74" s="2237" t="s">
        <v>338</v>
      </c>
      <c r="AT74" s="2238" t="s">
        <v>333</v>
      </c>
      <c r="AU74" s="2237" t="s">
        <v>634</v>
      </c>
      <c r="AV74" s="2324"/>
      <c r="AW74" s="2325"/>
      <c r="AX74" s="2326"/>
      <c r="AY74" s="2467" t="s">
        <v>547</v>
      </c>
      <c r="AZ74" s="2467"/>
      <c r="BA74" s="2467"/>
      <c r="BB74" s="2467"/>
      <c r="BC74" s="2467"/>
      <c r="BD74" s="2467"/>
      <c r="BE74" s="2467"/>
      <c r="BF74" s="2468"/>
    </row>
    <row r="75" spans="1:58" ht="15" customHeight="1">
      <c r="A75" s="201"/>
      <c r="B75" s="1031"/>
      <c r="C75" s="1031"/>
      <c r="D75" s="1031"/>
      <c r="E75" s="1031"/>
      <c r="F75" s="1031"/>
      <c r="G75" s="1031"/>
      <c r="H75" s="1031"/>
      <c r="I75" s="1031"/>
      <c r="J75" s="1031"/>
      <c r="K75" s="1031"/>
      <c r="L75" s="1031"/>
      <c r="M75" s="1031"/>
      <c r="N75" s="1031"/>
      <c r="O75" s="1031"/>
      <c r="P75" s="1031"/>
      <c r="Q75" s="1031"/>
      <c r="R75" s="1031"/>
      <c r="S75" s="1031"/>
      <c r="T75" s="1031"/>
      <c r="U75" s="1031"/>
      <c r="V75" s="1031"/>
      <c r="W75" s="1031"/>
      <c r="X75" s="1031"/>
      <c r="Y75" s="1031"/>
      <c r="Z75" s="1031"/>
      <c r="AA75" s="1031"/>
      <c r="AB75" s="1031"/>
      <c r="AC75" s="1031" t="s">
        <v>490</v>
      </c>
      <c r="AD75" s="1031" t="s">
        <v>490</v>
      </c>
      <c r="AE75" s="1031">
        <v>58</v>
      </c>
      <c r="AF75" s="1031">
        <v>50.167</v>
      </c>
      <c r="AG75" s="1031">
        <v>65.768</v>
      </c>
      <c r="AH75" s="1031" t="s">
        <v>490</v>
      </c>
      <c r="AI75" s="1031" t="s">
        <v>490</v>
      </c>
      <c r="AJ75" s="1031" t="s">
        <v>490</v>
      </c>
      <c r="AK75" s="1031" t="s">
        <v>490</v>
      </c>
      <c r="AL75" s="1031" t="s">
        <v>490</v>
      </c>
      <c r="AM75" s="1031"/>
      <c r="AN75" s="1031"/>
      <c r="AO75" s="1031"/>
      <c r="AP75" s="2459" t="s">
        <v>52</v>
      </c>
      <c r="AQ75" s="2460"/>
      <c r="AR75" s="2262" t="s">
        <v>334</v>
      </c>
      <c r="AS75" s="2232" t="s">
        <v>548</v>
      </c>
      <c r="AT75" s="2231" t="s">
        <v>549</v>
      </c>
      <c r="AU75" s="2232" t="s">
        <v>636</v>
      </c>
      <c r="AV75" s="2327"/>
      <c r="AW75" s="2328"/>
      <c r="AX75" s="2329"/>
      <c r="AY75" s="2469"/>
      <c r="AZ75" s="2469"/>
      <c r="BA75" s="2469"/>
      <c r="BB75" s="2469"/>
      <c r="BC75" s="2469"/>
      <c r="BD75" s="2469"/>
      <c r="BE75" s="2469"/>
      <c r="BF75" s="2470"/>
    </row>
    <row r="76" spans="1:58" ht="15" customHeight="1">
      <c r="A76" s="201"/>
      <c r="B76" s="2529" t="s">
        <v>376</v>
      </c>
      <c r="C76" s="2529"/>
      <c r="D76" s="510">
        <v>1000</v>
      </c>
      <c r="E76" s="531" t="s">
        <v>378</v>
      </c>
      <c r="F76" s="531"/>
      <c r="G76" s="531"/>
      <c r="H76" s="537"/>
      <c r="I76" s="113"/>
      <c r="J76" s="510">
        <v>80</v>
      </c>
      <c r="K76" s="2531" t="s">
        <v>145</v>
      </c>
      <c r="L76" s="2531"/>
      <c r="M76" s="2531"/>
      <c r="N76" s="536"/>
      <c r="O76" s="153"/>
      <c r="P76" s="153"/>
      <c r="Q76" s="153"/>
      <c r="R76" s="153"/>
      <c r="S76" s="153"/>
      <c r="T76" s="153"/>
      <c r="U76" s="153"/>
      <c r="V76" s="153"/>
      <c r="W76" s="153"/>
      <c r="X76" s="153"/>
      <c r="Y76" s="153"/>
      <c r="Z76" s="153"/>
      <c r="AA76" s="153"/>
      <c r="AB76" s="153"/>
      <c r="AC76" s="1422"/>
      <c r="AD76" s="1422"/>
      <c r="AE76" s="1707">
        <v>59</v>
      </c>
      <c r="AF76" s="1706">
        <v>51.154</v>
      </c>
      <c r="AG76" s="1707">
        <v>66.732</v>
      </c>
      <c r="AH76" s="84"/>
      <c r="AI76" s="84"/>
      <c r="AJ76" s="84"/>
      <c r="AK76" s="2064"/>
      <c r="AL76" s="2064"/>
      <c r="AM76" s="2064"/>
      <c r="AN76" s="153"/>
      <c r="AO76" s="153"/>
      <c r="AP76" s="2065" t="s">
        <v>635</v>
      </c>
      <c r="AQ76" s="1363">
        <v>10</v>
      </c>
      <c r="AR76" s="2263">
        <f>AQ76-AS76</f>
        <v>5</v>
      </c>
      <c r="AS76" s="1363">
        <v>5</v>
      </c>
      <c r="AT76" s="1364">
        <v>4.2</v>
      </c>
      <c r="AU76" s="1365">
        <f>(100-AQ79)*AS76/100</f>
        <v>4.741507870753935</v>
      </c>
      <c r="AV76" s="2322" t="s">
        <v>81</v>
      </c>
      <c r="AW76" s="2322"/>
      <c r="AX76" s="2322"/>
      <c r="AY76" s="2471" t="s">
        <v>569</v>
      </c>
      <c r="AZ76" s="2322"/>
      <c r="BA76" s="2322"/>
      <c r="BB76" s="1366">
        <f>AR76+AU77</f>
        <v>9.742</v>
      </c>
      <c r="BC76" s="2322" t="s">
        <v>582</v>
      </c>
      <c r="BD76" s="2322"/>
      <c r="BE76" s="2322"/>
      <c r="BF76" s="2323"/>
    </row>
    <row r="77" spans="1:58" ht="15" customHeight="1">
      <c r="A77" s="201"/>
      <c r="B77" s="2530" t="s">
        <v>111</v>
      </c>
      <c r="C77" s="2530"/>
      <c r="D77" s="539">
        <v>10</v>
      </c>
      <c r="E77" s="2477" t="str">
        <f>"%, then `dry` hop weight = "&amp;FIXED(AD77/(1-(D77/100)),0)&amp;"g"</f>
        <v>%, then `dry` hop weight = 222g</v>
      </c>
      <c r="F77" s="2477"/>
      <c r="G77" s="2477"/>
      <c r="H77" s="2477"/>
      <c r="I77" s="2477"/>
      <c r="K77" s="113"/>
      <c r="L77" s="113"/>
      <c r="M77" s="536"/>
      <c r="N77" s="536"/>
      <c r="O77" s="153"/>
      <c r="P77" s="153"/>
      <c r="Q77" s="153"/>
      <c r="R77" s="153"/>
      <c r="S77" s="153"/>
      <c r="T77" s="153"/>
      <c r="U77" s="153"/>
      <c r="V77" s="153"/>
      <c r="W77" s="153"/>
      <c r="X77" s="153"/>
      <c r="Y77" s="153"/>
      <c r="Z77" s="153"/>
      <c r="AA77" s="153"/>
      <c r="AB77" s="153"/>
      <c r="AC77" s="1426" t="s">
        <v>147</v>
      </c>
      <c r="AD77" s="1427">
        <f>D76*(1-(J76/100))</f>
        <v>199.99999999999994</v>
      </c>
      <c r="AE77" s="1707">
        <v>60</v>
      </c>
      <c r="AF77" s="1706">
        <v>52.147</v>
      </c>
      <c r="AG77" s="1707">
        <v>67.69</v>
      </c>
      <c r="AH77" s="1426" t="s">
        <v>290</v>
      </c>
      <c r="AI77" s="84"/>
      <c r="AJ77" s="84"/>
      <c r="AK77" s="1422"/>
      <c r="AL77" s="1422"/>
      <c r="AM77" s="1422"/>
      <c r="AN77" s="153"/>
      <c r="AO77" s="153"/>
      <c r="AP77" s="2066" t="s">
        <v>574</v>
      </c>
      <c r="AQ77" s="1367">
        <v>1055</v>
      </c>
      <c r="AR77" s="2259"/>
      <c r="AS77" s="1368"/>
      <c r="AT77" s="1369"/>
      <c r="AU77" s="1367">
        <v>4.742</v>
      </c>
      <c r="AV77" s="2458" t="s">
        <v>80</v>
      </c>
      <c r="AW77" s="2458"/>
      <c r="AX77" s="2458"/>
      <c r="AY77" s="2355" t="s">
        <v>551</v>
      </c>
      <c r="AZ77" s="2356"/>
      <c r="BA77" s="2356"/>
      <c r="BB77" s="1370"/>
      <c r="BC77" s="2359" t="str">
        <f>"g/litre, equivalent to "&amp;FIXED(BB77/AA13)&amp;" tsp"</f>
        <v>g/litre, equivalent to 0.00 tsp</v>
      </c>
      <c r="BD77" s="2359"/>
      <c r="BE77" s="2359"/>
      <c r="BF77" s="2345"/>
    </row>
    <row r="78" spans="1:58" ht="15" customHeight="1">
      <c r="A78" s="153"/>
      <c r="B78" s="531"/>
      <c r="C78" s="531"/>
      <c r="D78" s="531"/>
      <c r="E78" s="531"/>
      <c r="F78" s="113"/>
      <c r="G78" s="113"/>
      <c r="H78" s="113"/>
      <c r="I78" s="538"/>
      <c r="J78" s="538"/>
      <c r="K78" s="113"/>
      <c r="L78" s="113"/>
      <c r="M78" s="536"/>
      <c r="N78" s="536"/>
      <c r="O78" s="153"/>
      <c r="P78" s="153"/>
      <c r="Q78" s="153"/>
      <c r="R78" s="153"/>
      <c r="S78" s="153"/>
      <c r="T78" s="153"/>
      <c r="U78" s="153"/>
      <c r="V78" s="153"/>
      <c r="W78" s="153"/>
      <c r="X78" s="153"/>
      <c r="Y78" s="153"/>
      <c r="Z78" s="153"/>
      <c r="AA78" s="153"/>
      <c r="AB78" s="153"/>
      <c r="AC78" s="84"/>
      <c r="AD78" s="84"/>
      <c r="AE78" s="1707">
        <v>61</v>
      </c>
      <c r="AF78" s="1706">
        <v>53.146</v>
      </c>
      <c r="AG78" s="1707">
        <v>68.641</v>
      </c>
      <c r="AH78" s="84"/>
      <c r="AI78" s="84"/>
      <c r="AJ78" s="84"/>
      <c r="AK78" s="1422"/>
      <c r="AL78" s="1422"/>
      <c r="AM78" s="1422"/>
      <c r="AN78" s="153"/>
      <c r="AO78" s="153"/>
      <c r="AP78" s="2066" t="s">
        <v>575</v>
      </c>
      <c r="AQ78" s="1367">
        <v>1016</v>
      </c>
      <c r="AR78" s="2260">
        <f>1000+((AQ78-1000)+BB77/10)</f>
        <v>1016</v>
      </c>
      <c r="AS78" s="1371">
        <f>AR78</f>
        <v>1016</v>
      </c>
      <c r="AT78" s="1372">
        <f>1000+(AR78-1000)*AS76/AT76</f>
        <v>1019.047619047619</v>
      </c>
      <c r="AU78" s="1371">
        <f>(AT78*AT76+1000*(AU77-AT76))/(AT76+(AU77-AT76))</f>
        <v>1016.8705187684521</v>
      </c>
      <c r="AV78" s="2356" t="s">
        <v>637</v>
      </c>
      <c r="AW78" s="2356"/>
      <c r="AX78" s="2356"/>
      <c r="AY78" s="2355" t="s">
        <v>570</v>
      </c>
      <c r="AZ78" s="2356"/>
      <c r="BA78" s="2356"/>
      <c r="BB78" s="1373">
        <f>(AR78*AU77+AU78*AR76)/(AR76+AU77)</f>
        <v>1016.4467864752884</v>
      </c>
      <c r="BC78" s="2356" t="s">
        <v>335</v>
      </c>
      <c r="BD78" s="2356"/>
      <c r="BE78" s="2356"/>
      <c r="BF78" s="2478"/>
    </row>
    <row r="79" spans="1:58" ht="15" customHeight="1">
      <c r="A79" s="153"/>
      <c r="B79" s="113"/>
      <c r="C79" s="113"/>
      <c r="D79" s="113"/>
      <c r="E79" s="113"/>
      <c r="F79" s="113"/>
      <c r="G79" s="113"/>
      <c r="H79" s="113"/>
      <c r="I79" s="113"/>
      <c r="J79" s="113"/>
      <c r="K79" s="113"/>
      <c r="L79" s="113"/>
      <c r="M79" s="153"/>
      <c r="N79" s="231"/>
      <c r="O79" s="231"/>
      <c r="P79" s="464"/>
      <c r="Q79" s="153"/>
      <c r="R79" s="153"/>
      <c r="S79" s="153"/>
      <c r="T79" s="153"/>
      <c r="U79" s="153"/>
      <c r="V79" s="153"/>
      <c r="W79" s="153"/>
      <c r="X79" s="153"/>
      <c r="Y79" s="153"/>
      <c r="Z79" s="153"/>
      <c r="AA79" s="153"/>
      <c r="AB79" s="153"/>
      <c r="AC79" s="84"/>
      <c r="AD79" s="84"/>
      <c r="AE79" s="1707">
        <v>62</v>
      </c>
      <c r="AF79" s="1706">
        <v>54.152</v>
      </c>
      <c r="AG79" s="1707">
        <v>69.586</v>
      </c>
      <c r="AH79" s="84"/>
      <c r="AI79" s="84"/>
      <c r="AJ79" s="84"/>
      <c r="AK79" s="1422"/>
      <c r="AL79" s="1422"/>
      <c r="AM79" s="1422"/>
      <c r="AN79" s="153"/>
      <c r="AO79" s="153"/>
      <c r="AP79" s="2067" t="s">
        <v>494</v>
      </c>
      <c r="AQ79" s="1374">
        <f>(AQ77-AQ78)/(7.75-(3*(AQ77-1000)/800))</f>
        <v>5.169842584921293</v>
      </c>
      <c r="AR79" s="2264">
        <f>AQ79</f>
        <v>5.169842584921293</v>
      </c>
      <c r="AS79" s="1375">
        <f>AR79</f>
        <v>5.169842584921293</v>
      </c>
      <c r="AT79" s="1376">
        <f>(100*MAX(AT76,AU76)/AU76)-100</f>
        <v>0</v>
      </c>
      <c r="AU79" s="1377">
        <f>(AT79*AT76+0*(AU77-AT76))/AU77</f>
        <v>0</v>
      </c>
      <c r="AV79" s="2357" t="s">
        <v>336</v>
      </c>
      <c r="AW79" s="2357"/>
      <c r="AX79" s="2357"/>
      <c r="AY79" s="2484" t="s">
        <v>567</v>
      </c>
      <c r="AZ79" s="2357"/>
      <c r="BA79" s="2357"/>
      <c r="BB79" s="1377">
        <f>(AQ79*AR76+AU79*AU77)/BB76+(0.001*BB77*365)/(7.75-(3*(AQ78-1000)/800))</f>
        <v>2.65337845664201</v>
      </c>
      <c r="BC79" s="2357" t="s">
        <v>291</v>
      </c>
      <c r="BD79" s="2357"/>
      <c r="BE79" s="2357"/>
      <c r="BF79" s="2358"/>
    </row>
    <row r="80" spans="1:58" ht="15" customHeight="1">
      <c r="A80" s="153"/>
      <c r="B80" s="2528" t="s">
        <v>114</v>
      </c>
      <c r="C80" s="2528"/>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422"/>
      <c r="AD80" s="1422"/>
      <c r="AE80" s="1707">
        <v>63</v>
      </c>
      <c r="AF80" s="1706">
        <v>55.165</v>
      </c>
      <c r="AG80" s="1707">
        <v>70.523</v>
      </c>
      <c r="AH80" s="84"/>
      <c r="AI80" s="84"/>
      <c r="AJ80" s="84"/>
      <c r="AK80" s="1422"/>
      <c r="AL80" s="1422"/>
      <c r="AM80" s="459"/>
      <c r="AN80" s="153"/>
      <c r="AO80" s="153"/>
      <c r="AP80" s="2485" t="s">
        <v>300</v>
      </c>
      <c r="AQ80" s="2485"/>
      <c r="AR80" s="2485"/>
      <c r="AS80" s="2485"/>
      <c r="AT80" s="2485"/>
      <c r="AU80" s="2485"/>
      <c r="AV80" s="2485"/>
      <c r="AW80" s="2485"/>
      <c r="AX80" s="2485"/>
      <c r="AY80" s="2485"/>
      <c r="AZ80" s="2485"/>
      <c r="BA80" s="2485"/>
      <c r="BB80" s="2485"/>
      <c r="BC80" s="2485"/>
      <c r="BD80" s="2485"/>
      <c r="BE80" s="2485"/>
      <c r="BF80" s="2485"/>
    </row>
    <row r="81" spans="1:58" ht="15" customHeight="1">
      <c r="A81" s="153"/>
      <c r="B81" s="153"/>
      <c r="C81" s="113"/>
      <c r="D81" s="2288" t="s">
        <v>442</v>
      </c>
      <c r="E81" s="2289"/>
      <c r="F81" s="2336" t="s">
        <v>112</v>
      </c>
      <c r="G81" s="2463"/>
      <c r="H81" s="2284" t="s">
        <v>443</v>
      </c>
      <c r="I81" s="2285"/>
      <c r="J81" s="153"/>
      <c r="K81" s="2288" t="s">
        <v>442</v>
      </c>
      <c r="L81" s="2289"/>
      <c r="M81" s="2288" t="s">
        <v>443</v>
      </c>
      <c r="N81" s="2289"/>
      <c r="O81" s="2532" t="s">
        <v>112</v>
      </c>
      <c r="P81" s="2533"/>
      <c r="Q81" s="153"/>
      <c r="R81" s="2288" t="s">
        <v>443</v>
      </c>
      <c r="S81" s="2289"/>
      <c r="T81" s="2336" t="s">
        <v>112</v>
      </c>
      <c r="U81" s="2321"/>
      <c r="V81" s="2284" t="s">
        <v>442</v>
      </c>
      <c r="W81" s="2285"/>
      <c r="X81" s="2286" t="s">
        <v>1650</v>
      </c>
      <c r="Y81" s="2287"/>
      <c r="Z81" s="2287"/>
      <c r="AA81" s="2287"/>
      <c r="AB81" s="2287"/>
      <c r="AC81" s="1422"/>
      <c r="AD81" s="1422"/>
      <c r="AE81" s="1707">
        <v>64</v>
      </c>
      <c r="AF81" s="1706">
        <v>56.184</v>
      </c>
      <c r="AG81" s="1707">
        <v>71.455</v>
      </c>
      <c r="AH81" s="84"/>
      <c r="AI81" s="84"/>
      <c r="AJ81" s="84"/>
      <c r="AK81" s="1422"/>
      <c r="AL81" s="1422"/>
      <c r="AM81" s="1422"/>
      <c r="AN81" s="153"/>
      <c r="AO81" s="153"/>
      <c r="AP81" s="2485"/>
      <c r="AQ81" s="2485"/>
      <c r="AR81" s="2485"/>
      <c r="AS81" s="2485"/>
      <c r="AT81" s="2485"/>
      <c r="AU81" s="2485"/>
      <c r="AV81" s="2485"/>
      <c r="AW81" s="2485"/>
      <c r="AX81" s="2485"/>
      <c r="AY81" s="2485"/>
      <c r="AZ81" s="2485"/>
      <c r="BA81" s="2485"/>
      <c r="BB81" s="2485"/>
      <c r="BC81" s="2485"/>
      <c r="BD81" s="2485"/>
      <c r="BE81" s="2485"/>
      <c r="BF81" s="2485"/>
    </row>
    <row r="82" spans="1:58" ht="15" customHeight="1">
      <c r="A82" s="153"/>
      <c r="B82" s="153"/>
      <c r="C82" s="113"/>
      <c r="D82" s="2461">
        <v>42.3</v>
      </c>
      <c r="E82" s="2462"/>
      <c r="F82" s="2461">
        <v>76.26</v>
      </c>
      <c r="G82" s="2464"/>
      <c r="H82" s="2288">
        <f>D82-F82*D82/100</f>
        <v>10.04202</v>
      </c>
      <c r="I82" s="2289"/>
      <c r="J82" s="153"/>
      <c r="K82" s="2461">
        <v>42.3</v>
      </c>
      <c r="L82" s="2462"/>
      <c r="M82" s="2461">
        <v>10.042</v>
      </c>
      <c r="N82" s="2462"/>
      <c r="O82" s="2288">
        <f>100*(K82-M82)/K82</f>
        <v>76.26004728132388</v>
      </c>
      <c r="P82" s="2289"/>
      <c r="Q82" s="153"/>
      <c r="R82" s="2461">
        <v>10.042</v>
      </c>
      <c r="S82" s="2462"/>
      <c r="T82" s="2461">
        <v>76.26</v>
      </c>
      <c r="U82" s="2462"/>
      <c r="V82" s="2288">
        <f>R82/(1-T82/100)</f>
        <v>42.299915754001695</v>
      </c>
      <c r="W82" s="2289"/>
      <c r="X82" s="2286"/>
      <c r="Y82" s="2287"/>
      <c r="Z82" s="2287"/>
      <c r="AA82" s="2287"/>
      <c r="AB82" s="2287"/>
      <c r="AC82" s="1422"/>
      <c r="AD82" s="1422"/>
      <c r="AE82" s="1707">
        <v>65</v>
      </c>
      <c r="AF82" s="1706">
        <v>57.208</v>
      </c>
      <c r="AG82" s="1707">
        <v>72.38</v>
      </c>
      <c r="AH82" s="84"/>
      <c r="AI82" s="84"/>
      <c r="AJ82" s="84"/>
      <c r="AK82" s="1422"/>
      <c r="AL82" s="1422"/>
      <c r="AM82" s="1422"/>
      <c r="AN82" s="153"/>
      <c r="AO82" s="153"/>
      <c r="AP82" s="1378"/>
      <c r="AQ82" s="1378"/>
      <c r="AR82" s="1378"/>
      <c r="AS82" s="1378"/>
      <c r="AT82" s="1378"/>
      <c r="AU82" s="1378"/>
      <c r="AV82" s="1378"/>
      <c r="AW82" s="1378"/>
      <c r="AX82" s="1378"/>
      <c r="AY82" s="1378"/>
      <c r="AZ82" s="1378"/>
      <c r="BA82" s="1378"/>
      <c r="BB82" s="1378"/>
      <c r="BC82" s="1378"/>
      <c r="BD82" s="1378"/>
      <c r="BE82" s="1378"/>
      <c r="BF82" s="1378"/>
    </row>
    <row r="83" spans="1:58" ht="15" customHeight="1">
      <c r="A83" s="153"/>
      <c r="B83" s="153"/>
      <c r="C83" s="113"/>
      <c r="D83" s="113"/>
      <c r="E83" s="113"/>
      <c r="F83" s="113"/>
      <c r="G83" s="113"/>
      <c r="H83" s="113"/>
      <c r="I83" s="113"/>
      <c r="J83" s="113"/>
      <c r="K83" s="153"/>
      <c r="L83" s="153"/>
      <c r="M83" s="153"/>
      <c r="N83" s="153"/>
      <c r="O83" s="153"/>
      <c r="P83" s="153"/>
      <c r="Q83" s="153"/>
      <c r="R83" s="153"/>
      <c r="S83" s="153"/>
      <c r="T83" s="153"/>
      <c r="U83" s="153"/>
      <c r="V83" s="153"/>
      <c r="W83" s="153"/>
      <c r="X83" s="153"/>
      <c r="Y83" s="153"/>
      <c r="Z83" s="153"/>
      <c r="AA83" s="153"/>
      <c r="AB83" s="153"/>
      <c r="AC83" s="1422"/>
      <c r="AD83" s="1422"/>
      <c r="AE83" s="1707">
        <v>66</v>
      </c>
      <c r="AF83" s="1706">
        <v>58.241</v>
      </c>
      <c r="AG83" s="1707">
        <v>73.299</v>
      </c>
      <c r="AH83" s="84"/>
      <c r="AI83" s="84"/>
      <c r="AJ83" s="84"/>
      <c r="AK83" s="1422"/>
      <c r="AL83" s="1422"/>
      <c r="AM83" s="1422"/>
      <c r="AN83" s="153"/>
      <c r="AO83" s="153"/>
      <c r="AP83" s="2539" t="s">
        <v>53</v>
      </c>
      <c r="AQ83" s="2539"/>
      <c r="AR83" s="2539"/>
      <c r="AS83" s="2539"/>
      <c r="AT83" s="2539"/>
      <c r="AU83" s="2539"/>
      <c r="AV83" s="2539"/>
      <c r="AW83" s="2539"/>
      <c r="AX83" s="2539"/>
      <c r="AY83" s="537"/>
      <c r="AZ83" s="153"/>
      <c r="BA83" s="153"/>
      <c r="BB83" s="153"/>
      <c r="BC83" s="153"/>
      <c r="BD83" s="153"/>
      <c r="BE83" s="153"/>
      <c r="BF83" s="153"/>
    </row>
    <row r="84" spans="1:58" ht="15" customHeight="1">
      <c r="A84" s="153"/>
      <c r="B84" s="153"/>
      <c r="C84" s="113"/>
      <c r="D84" s="113"/>
      <c r="E84" s="113"/>
      <c r="F84" s="113"/>
      <c r="G84" s="113"/>
      <c r="H84" s="113"/>
      <c r="I84" s="113"/>
      <c r="J84" s="113"/>
      <c r="K84" s="153"/>
      <c r="L84" s="153"/>
      <c r="M84" s="153"/>
      <c r="N84" s="153"/>
      <c r="O84" s="153"/>
      <c r="P84" s="153"/>
      <c r="Q84" s="153"/>
      <c r="R84" s="153"/>
      <c r="S84" s="153"/>
      <c r="T84" s="153"/>
      <c r="U84" s="153"/>
      <c r="V84" s="153"/>
      <c r="W84" s="153"/>
      <c r="X84" s="153"/>
      <c r="Y84" s="153"/>
      <c r="Z84" s="153"/>
      <c r="AA84" s="153"/>
      <c r="AB84" s="153"/>
      <c r="AC84" s="1422"/>
      <c r="AD84" s="1422"/>
      <c r="AE84" s="1707">
        <v>67</v>
      </c>
      <c r="AF84" s="1706">
        <v>59.279</v>
      </c>
      <c r="AG84" s="1707">
        <v>74.211</v>
      </c>
      <c r="AH84" s="84"/>
      <c r="AI84" s="84"/>
      <c r="AJ84" s="84"/>
      <c r="AK84" s="1422"/>
      <c r="AL84" s="1422"/>
      <c r="AM84" s="1422"/>
      <c r="AN84" s="153"/>
      <c r="AO84" s="153"/>
      <c r="AP84" s="2537" t="s">
        <v>61</v>
      </c>
      <c r="AQ84" s="2538"/>
      <c r="AR84" s="2538"/>
      <c r="AS84" s="2233" t="s">
        <v>337</v>
      </c>
      <c r="AT84" s="2234" t="s">
        <v>338</v>
      </c>
      <c r="AU84" s="2233" t="s">
        <v>333</v>
      </c>
      <c r="AV84" s="2482"/>
      <c r="AW84" s="2482"/>
      <c r="AX84" s="2482"/>
      <c r="AY84" s="2486" t="s">
        <v>547</v>
      </c>
      <c r="AZ84" s="2487"/>
      <c r="BA84" s="2487"/>
      <c r="BB84" s="2487"/>
      <c r="BC84" s="2487"/>
      <c r="BD84" s="2487"/>
      <c r="BE84" s="2487"/>
      <c r="BF84" s="2488"/>
    </row>
    <row r="85" spans="1:58" ht="15" customHeight="1">
      <c r="A85" s="153"/>
      <c r="B85" s="153"/>
      <c r="C85" s="531"/>
      <c r="D85" s="462"/>
      <c r="E85" s="462"/>
      <c r="F85" s="462"/>
      <c r="G85" s="462"/>
      <c r="H85" s="462"/>
      <c r="I85" s="462"/>
      <c r="J85" s="462"/>
      <c r="K85" s="462"/>
      <c r="L85" s="462"/>
      <c r="M85" s="462"/>
      <c r="N85" s="462"/>
      <c r="O85" s="462"/>
      <c r="P85" s="462"/>
      <c r="Q85" s="462"/>
      <c r="R85" s="462"/>
      <c r="S85" s="462"/>
      <c r="T85" s="462"/>
      <c r="U85" s="462"/>
      <c r="V85" s="462"/>
      <c r="W85" s="153"/>
      <c r="X85" s="153"/>
      <c r="Y85" s="153"/>
      <c r="Z85" s="153"/>
      <c r="AA85" s="153"/>
      <c r="AB85" s="153"/>
      <c r="AC85" s="1422"/>
      <c r="AD85" s="1422"/>
      <c r="AE85" s="1707">
        <v>68</v>
      </c>
      <c r="AF85" s="1706">
        <v>60.325</v>
      </c>
      <c r="AG85" s="1707">
        <v>75.117</v>
      </c>
      <c r="AH85" s="84"/>
      <c r="AI85" s="84"/>
      <c r="AJ85" s="84"/>
      <c r="AK85" s="1422"/>
      <c r="AL85" s="1422"/>
      <c r="AM85" s="1422"/>
      <c r="AN85" s="153"/>
      <c r="AO85" s="153"/>
      <c r="AP85" s="2535" t="s">
        <v>687</v>
      </c>
      <c r="AQ85" s="2536"/>
      <c r="AR85" s="2536"/>
      <c r="AS85" s="2235" t="s">
        <v>312</v>
      </c>
      <c r="AT85" s="2236" t="s">
        <v>548</v>
      </c>
      <c r="AU85" s="2235" t="s">
        <v>549</v>
      </c>
      <c r="AV85" s="2483"/>
      <c r="AW85" s="2483"/>
      <c r="AX85" s="2483"/>
      <c r="AY85" s="2489"/>
      <c r="AZ85" s="2490"/>
      <c r="BA85" s="2490"/>
      <c r="BB85" s="2490"/>
      <c r="BC85" s="2490"/>
      <c r="BD85" s="2490"/>
      <c r="BE85" s="2490"/>
      <c r="BF85" s="2491"/>
    </row>
    <row r="86" spans="1:58" ht="15" customHeight="1">
      <c r="A86" s="153"/>
      <c r="B86" s="153"/>
      <c r="C86" s="153"/>
      <c r="D86" s="153"/>
      <c r="E86" s="153"/>
      <c r="F86" s="153"/>
      <c r="G86" s="153"/>
      <c r="H86" s="153"/>
      <c r="I86" s="153"/>
      <c r="J86" s="153"/>
      <c r="K86" s="153"/>
      <c r="L86" s="153"/>
      <c r="M86" s="153"/>
      <c r="N86" s="153"/>
      <c r="O86" s="153"/>
      <c r="P86" s="153"/>
      <c r="Q86" s="153"/>
      <c r="R86" s="534"/>
      <c r="S86" s="540"/>
      <c r="T86" s="331"/>
      <c r="U86" s="462"/>
      <c r="V86" s="462"/>
      <c r="W86" s="153"/>
      <c r="X86" s="153"/>
      <c r="Y86" s="153"/>
      <c r="Z86" s="153"/>
      <c r="AA86" s="153"/>
      <c r="AB86" s="153"/>
      <c r="AC86" s="1422"/>
      <c r="AD86" s="1422"/>
      <c r="AE86" s="1707">
        <v>69</v>
      </c>
      <c r="AF86" s="1706">
        <v>61.379</v>
      </c>
      <c r="AG86" s="1707">
        <v>76.016</v>
      </c>
      <c r="AH86" s="84"/>
      <c r="AI86" s="84"/>
      <c r="AJ86" s="84"/>
      <c r="AK86" s="1422"/>
      <c r="AL86" s="1422"/>
      <c r="AM86" s="1422"/>
      <c r="AN86" s="153"/>
      <c r="AO86" s="153"/>
      <c r="AP86" s="1379" t="s">
        <v>550</v>
      </c>
      <c r="AQ86" s="1380">
        <v>21</v>
      </c>
      <c r="AR86" s="1381" t="s">
        <v>307</v>
      </c>
      <c r="AS86" s="1382">
        <f>AQ86-AT86</f>
        <v>11</v>
      </c>
      <c r="AT86" s="1383">
        <v>10</v>
      </c>
      <c r="AU86" s="1384">
        <v>10</v>
      </c>
      <c r="AV86" s="2481" t="s">
        <v>80</v>
      </c>
      <c r="AW86" s="2481"/>
      <c r="AX86" s="2481"/>
      <c r="AY86" s="2479" t="s">
        <v>569</v>
      </c>
      <c r="AZ86" s="2480"/>
      <c r="BA86" s="2480"/>
      <c r="BB86" s="1385">
        <f>AS86+AU86</f>
        <v>21</v>
      </c>
      <c r="BC86" s="2471" t="s">
        <v>688</v>
      </c>
      <c r="BD86" s="2322"/>
      <c r="BE86" s="2322"/>
      <c r="BF86" s="2323"/>
    </row>
    <row r="87" spans="1:58" ht="15" customHeight="1">
      <c r="A87" s="153"/>
      <c r="B87" s="153"/>
      <c r="C87" s="153"/>
      <c r="D87" s="153"/>
      <c r="E87" s="153"/>
      <c r="F87" s="153"/>
      <c r="G87" s="153"/>
      <c r="H87" s="153"/>
      <c r="I87" s="153"/>
      <c r="J87" s="153"/>
      <c r="K87" s="153"/>
      <c r="L87" s="153"/>
      <c r="M87" s="153"/>
      <c r="N87" s="153"/>
      <c r="O87" s="153"/>
      <c r="P87" s="153"/>
      <c r="Q87" s="153"/>
      <c r="R87" s="462"/>
      <c r="S87" s="462"/>
      <c r="T87" s="462"/>
      <c r="U87" s="2534" t="s">
        <v>303</v>
      </c>
      <c r="V87" s="2534"/>
      <c r="W87" s="2534"/>
      <c r="X87" s="2534"/>
      <c r="Y87" s="2534"/>
      <c r="Z87" s="2534"/>
      <c r="AA87" s="153"/>
      <c r="AB87" s="153"/>
      <c r="AC87" s="1428"/>
      <c r="AD87" s="1429"/>
      <c r="AE87" s="1707">
        <v>70</v>
      </c>
      <c r="AF87" s="1706">
        <v>62.441</v>
      </c>
      <c r="AG87" s="1707">
        <v>76.909</v>
      </c>
      <c r="AH87" s="1422"/>
      <c r="AI87" s="1422"/>
      <c r="AJ87" s="1422"/>
      <c r="AK87" s="1422"/>
      <c r="AL87" s="1422"/>
      <c r="AM87" s="1422"/>
      <c r="AN87" s="153"/>
      <c r="AO87" s="153"/>
      <c r="AP87" s="1386" t="s">
        <v>574</v>
      </c>
      <c r="AQ87" s="1387">
        <v>1040</v>
      </c>
      <c r="AR87" s="1388"/>
      <c r="AS87" s="1382"/>
      <c r="AT87" s="1389"/>
      <c r="AU87" s="1382"/>
      <c r="AV87" s="2541"/>
      <c r="AW87" s="2541"/>
      <c r="AX87" s="2541"/>
      <c r="AY87" s="2479" t="s">
        <v>647</v>
      </c>
      <c r="AZ87" s="2480"/>
      <c r="BA87" s="2480"/>
      <c r="BB87" s="1390">
        <f>(AS88*AU86+AU88*AS86)/(AS86+AU86)</f>
        <v>1014</v>
      </c>
      <c r="BC87" s="2480" t="s">
        <v>313</v>
      </c>
      <c r="BD87" s="2480"/>
      <c r="BE87" s="2480"/>
      <c r="BF87" s="2540"/>
    </row>
    <row r="88" spans="1:58" ht="15" customHeight="1">
      <c r="A88" s="153"/>
      <c r="B88" s="153"/>
      <c r="C88" s="531"/>
      <c r="D88" s="531"/>
      <c r="E88" s="531"/>
      <c r="F88" s="531"/>
      <c r="G88" s="531"/>
      <c r="H88" s="531"/>
      <c r="I88" s="531"/>
      <c r="J88" s="531"/>
      <c r="K88" s="531"/>
      <c r="L88" s="531"/>
      <c r="M88" s="531"/>
      <c r="N88" s="531"/>
      <c r="O88" s="531"/>
      <c r="P88" s="531"/>
      <c r="Q88" s="531"/>
      <c r="R88" s="462"/>
      <c r="S88" s="462"/>
      <c r="T88" s="462"/>
      <c r="U88" s="2534"/>
      <c r="V88" s="2534"/>
      <c r="W88" s="2534"/>
      <c r="X88" s="2534"/>
      <c r="Y88" s="2534"/>
      <c r="Z88" s="2534"/>
      <c r="AA88" s="153"/>
      <c r="AB88" s="153"/>
      <c r="AC88" s="1422"/>
      <c r="AD88" s="1422"/>
      <c r="AE88" s="1707">
        <v>71</v>
      </c>
      <c r="AF88" s="1706">
        <v>63.511</v>
      </c>
      <c r="AG88" s="1707">
        <v>77.794</v>
      </c>
      <c r="AH88" s="1422"/>
      <c r="AI88" s="1422"/>
      <c r="AJ88" s="1422"/>
      <c r="AK88" s="1422"/>
      <c r="AL88" s="1422"/>
      <c r="AM88" s="1422"/>
      <c r="AN88" s="153"/>
      <c r="AO88" s="153"/>
      <c r="AP88" s="1386" t="s">
        <v>575</v>
      </c>
      <c r="AQ88" s="1387">
        <v>1014</v>
      </c>
      <c r="AR88" s="1388"/>
      <c r="AS88" s="1382">
        <f>AQ88</f>
        <v>1014</v>
      </c>
      <c r="AT88" s="1389">
        <f>AQ88</f>
        <v>1014</v>
      </c>
      <c r="AU88" s="1391">
        <f>1000+(AQ88-1000)*AT86/AU86</f>
        <v>1014</v>
      </c>
      <c r="AV88" s="2480" t="s">
        <v>571</v>
      </c>
      <c r="AW88" s="2480"/>
      <c r="AX88" s="2480"/>
      <c r="AY88" s="2479" t="s">
        <v>551</v>
      </c>
      <c r="AZ88" s="2480"/>
      <c r="BA88" s="2480"/>
      <c r="BB88" s="1392">
        <v>3.15</v>
      </c>
      <c r="BC88" s="2359" t="str">
        <f>"g/litre, equivalent to "&amp;FIXED(BB88/AA13)&amp;" tsp"</f>
        <v>g/litre, equivalent to 1.00 tsp</v>
      </c>
      <c r="BD88" s="2359"/>
      <c r="BE88" s="2359"/>
      <c r="BF88" s="2345"/>
    </row>
    <row r="89" spans="1:58" ht="15" customHeight="1">
      <c r="A89" s="153"/>
      <c r="B89" s="153"/>
      <c r="C89" s="531"/>
      <c r="D89" s="531"/>
      <c r="E89" s="531"/>
      <c r="F89" s="531"/>
      <c r="G89" s="531"/>
      <c r="H89" s="531"/>
      <c r="I89" s="531"/>
      <c r="J89" s="531"/>
      <c r="K89" s="531"/>
      <c r="L89" s="531"/>
      <c r="M89" s="531"/>
      <c r="N89" s="531"/>
      <c r="O89" s="531"/>
      <c r="P89" s="531"/>
      <c r="Q89" s="531"/>
      <c r="R89" s="462"/>
      <c r="S89" s="462"/>
      <c r="T89" s="462"/>
      <c r="U89" s="2534"/>
      <c r="V89" s="2534"/>
      <c r="W89" s="2534"/>
      <c r="X89" s="2534"/>
      <c r="Y89" s="2534"/>
      <c r="Z89" s="2534"/>
      <c r="AA89" s="153"/>
      <c r="AB89" s="153"/>
      <c r="AC89" s="1422"/>
      <c r="AD89" s="1422"/>
      <c r="AE89" s="1707">
        <v>72</v>
      </c>
      <c r="AF89" s="1706">
        <v>64.588</v>
      </c>
      <c r="AG89" s="1707">
        <v>78.672</v>
      </c>
      <c r="AH89" s="1422"/>
      <c r="AI89" s="1422"/>
      <c r="AJ89" s="1422"/>
      <c r="AK89" s="1422"/>
      <c r="AL89" s="1422"/>
      <c r="AM89" s="1422"/>
      <c r="AN89" s="153"/>
      <c r="AO89" s="153"/>
      <c r="AP89" s="1393" t="s">
        <v>494</v>
      </c>
      <c r="AQ89" s="1394">
        <f>(AQ87-AQ88)/(7.75-(3*(AQ87-1000)/800))</f>
        <v>3.4210526315789473</v>
      </c>
      <c r="AR89" s="2251" t="s">
        <v>571</v>
      </c>
      <c r="AS89" s="1395">
        <f>AQ89</f>
        <v>3.4210526315789473</v>
      </c>
      <c r="AT89" s="1396">
        <f>AS89</f>
        <v>3.4210526315789473</v>
      </c>
      <c r="AU89" s="1397">
        <v>0</v>
      </c>
      <c r="AV89" s="2542" t="s">
        <v>552</v>
      </c>
      <c r="AW89" s="2542"/>
      <c r="AX89" s="2542"/>
      <c r="AY89" s="2543" t="s">
        <v>567</v>
      </c>
      <c r="AZ89" s="2542"/>
      <c r="BA89" s="2542"/>
      <c r="BB89" s="1398">
        <f>(AQ89*AS86+AU86*AU89)/BB86+(0.001*BB88*365)/(7.75-(3*(AQ88-1000)/800))</f>
        <v>1.941346627367379</v>
      </c>
      <c r="BC89" s="2542" t="s">
        <v>571</v>
      </c>
      <c r="BD89" s="2542"/>
      <c r="BE89" s="2542"/>
      <c r="BF89" s="2558"/>
    </row>
    <row r="90" spans="1:58" ht="15" customHeight="1">
      <c r="A90" s="153"/>
      <c r="B90" s="153"/>
      <c r="C90" s="531"/>
      <c r="D90" s="462"/>
      <c r="E90" s="462"/>
      <c r="F90" s="462"/>
      <c r="G90" s="462"/>
      <c r="H90" s="462"/>
      <c r="I90" s="462"/>
      <c r="J90" s="462"/>
      <c r="K90" s="462"/>
      <c r="L90" s="462"/>
      <c r="M90" s="462"/>
      <c r="N90" s="462"/>
      <c r="O90" s="462"/>
      <c r="P90" s="462"/>
      <c r="Q90" s="462"/>
      <c r="R90" s="462"/>
      <c r="S90" s="462"/>
      <c r="T90" s="462"/>
      <c r="U90" s="153"/>
      <c r="V90" s="153"/>
      <c r="W90" s="153"/>
      <c r="X90" s="153"/>
      <c r="Y90" s="153"/>
      <c r="Z90" s="153"/>
      <c r="AA90" s="153"/>
      <c r="AB90" s="153"/>
      <c r="AC90" t="s">
        <v>490</v>
      </c>
      <c r="AD90" t="s">
        <v>490</v>
      </c>
      <c r="AE90">
        <v>83</v>
      </c>
      <c r="AF90">
        <v>77.039</v>
      </c>
      <c r="AG90">
        <v>87.885</v>
      </c>
      <c r="AH90"/>
      <c r="AI90" t="s">
        <v>490</v>
      </c>
      <c r="AJ90" t="s">
        <v>490</v>
      </c>
      <c r="AK90" t="s">
        <v>490</v>
      </c>
      <c r="AL90" t="s">
        <v>490</v>
      </c>
      <c r="AM90" t="s">
        <v>490</v>
      </c>
      <c r="AN90" s="1031"/>
      <c r="AO90" s="153"/>
      <c r="AP90" s="2559" t="s">
        <v>39</v>
      </c>
      <c r="AQ90" s="2559"/>
      <c r="AR90" s="2559"/>
      <c r="AS90" s="2559"/>
      <c r="AT90" s="2559"/>
      <c r="AU90" s="2559"/>
      <c r="AV90" s="2559"/>
      <c r="AW90" s="2559"/>
      <c r="AX90" s="2559"/>
      <c r="AY90" s="2559"/>
      <c r="AZ90" s="2559"/>
      <c r="BA90" s="2559"/>
      <c r="BB90" s="2559"/>
      <c r="BC90" s="2559"/>
      <c r="BD90" s="2559"/>
      <c r="BE90" s="2559"/>
      <c r="BF90" s="2559"/>
    </row>
    <row r="91" spans="1:58" ht="15" customHeight="1">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t="s">
        <v>490</v>
      </c>
      <c r="AD91" t="s">
        <v>490</v>
      </c>
      <c r="AE91">
        <v>83</v>
      </c>
      <c r="AF91">
        <v>77.039</v>
      </c>
      <c r="AG91">
        <v>87.885</v>
      </c>
      <c r="AH91"/>
      <c r="AI91" t="s">
        <v>490</v>
      </c>
      <c r="AJ91" t="s">
        <v>490</v>
      </c>
      <c r="AK91" t="s">
        <v>490</v>
      </c>
      <c r="AL91" t="s">
        <v>490</v>
      </c>
      <c r="AM91" t="s">
        <v>490</v>
      </c>
      <c r="AN91" s="1031"/>
      <c r="AO91" s="153"/>
      <c r="AP91" s="2560"/>
      <c r="AQ91" s="2560"/>
      <c r="AR91" s="2560"/>
      <c r="AS91" s="2560"/>
      <c r="AT91" s="2560"/>
      <c r="AU91" s="2560"/>
      <c r="AV91" s="2560"/>
      <c r="AW91" s="2560"/>
      <c r="AX91" s="2560"/>
      <c r="AY91" s="2560"/>
      <c r="AZ91" s="2560"/>
      <c r="BA91" s="2560"/>
      <c r="BB91" s="2560"/>
      <c r="BC91" s="2560"/>
      <c r="BD91" s="2560"/>
      <c r="BE91" s="2560"/>
      <c r="BF91" s="2560"/>
    </row>
    <row r="92" spans="1:58" ht="15" customHeight="1">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t="s">
        <v>490</v>
      </c>
      <c r="AD92" t="s">
        <v>490</v>
      </c>
      <c r="AE92">
        <v>83</v>
      </c>
      <c r="AF92">
        <v>77.039</v>
      </c>
      <c r="AG92">
        <v>87.885</v>
      </c>
      <c r="AH92"/>
      <c r="AI92" t="s">
        <v>490</v>
      </c>
      <c r="AJ92" t="s">
        <v>490</v>
      </c>
      <c r="AK92" t="s">
        <v>490</v>
      </c>
      <c r="AL92" t="s">
        <v>490</v>
      </c>
      <c r="AM92" t="s">
        <v>490</v>
      </c>
      <c r="AN92" s="1031"/>
      <c r="AO92" s="153"/>
      <c r="AP92" s="153"/>
      <c r="AQ92" s="153"/>
      <c r="AR92" s="153"/>
      <c r="AS92" s="153"/>
      <c r="AT92" s="153"/>
      <c r="AU92" s="153"/>
      <c r="AV92" s="153"/>
      <c r="AW92" s="153"/>
      <c r="AX92" s="153"/>
      <c r="AY92" s="153"/>
      <c r="AZ92" s="153"/>
      <c r="BA92" s="153"/>
      <c r="BB92" s="1300"/>
      <c r="BC92" s="1300"/>
      <c r="BD92" s="1300"/>
      <c r="BE92" s="1300"/>
      <c r="BF92" s="1300"/>
    </row>
    <row r="93" spans="1:58" ht="15" customHeight="1">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t="s">
        <v>490</v>
      </c>
      <c r="AD93" t="s">
        <v>490</v>
      </c>
      <c r="AE93">
        <v>83</v>
      </c>
      <c r="AF93">
        <v>77.039</v>
      </c>
      <c r="AG93">
        <v>87.885</v>
      </c>
      <c r="AH93"/>
      <c r="AI93" t="s">
        <v>490</v>
      </c>
      <c r="AJ93" t="s">
        <v>490</v>
      </c>
      <c r="AK93" t="s">
        <v>490</v>
      </c>
      <c r="AL93" t="s">
        <v>490</v>
      </c>
      <c r="AM93" t="s">
        <v>490</v>
      </c>
      <c r="AN93" s="1031"/>
      <c r="AO93" s="2547" t="s">
        <v>1137</v>
      </c>
      <c r="AP93" s="2547"/>
      <c r="AQ93" s="2344" t="s">
        <v>1138</v>
      </c>
      <c r="AR93" s="2344"/>
      <c r="AS93" s="2344"/>
      <c r="AT93" s="2344"/>
      <c r="AU93" s="2344"/>
      <c r="AV93" s="2344"/>
      <c r="AW93" s="2344"/>
      <c r="AX93" s="1333"/>
      <c r="AY93" s="153"/>
      <c r="AZ93" s="153"/>
      <c r="BA93" s="153"/>
      <c r="BB93" s="1300"/>
      <c r="BC93" s="1300"/>
      <c r="BD93" s="1300"/>
      <c r="BE93" s="1300"/>
      <c r="BF93" s="1300"/>
    </row>
    <row r="94" spans="1:58" ht="15" customHeight="1">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t="s">
        <v>490</v>
      </c>
      <c r="AD94" t="s">
        <v>490</v>
      </c>
      <c r="AE94">
        <v>83</v>
      </c>
      <c r="AF94">
        <v>77.039</v>
      </c>
      <c r="AG94">
        <v>87.885</v>
      </c>
      <c r="AH94"/>
      <c r="AI94" t="s">
        <v>490</v>
      </c>
      <c r="AJ94" t="s">
        <v>490</v>
      </c>
      <c r="AK94" t="s">
        <v>490</v>
      </c>
      <c r="AL94" t="s">
        <v>490</v>
      </c>
      <c r="AM94" t="s">
        <v>490</v>
      </c>
      <c r="AN94" s="1031"/>
      <c r="AO94" s="153"/>
      <c r="AP94" s="1405" t="s">
        <v>1139</v>
      </c>
      <c r="AQ94" s="1406">
        <v>1070</v>
      </c>
      <c r="AR94" s="2545"/>
      <c r="AS94" s="2545"/>
      <c r="AT94" s="1407"/>
      <c r="AU94" s="2546" t="s">
        <v>1140</v>
      </c>
      <c r="AV94" s="2546"/>
      <c r="AW94" s="2546"/>
      <c r="AX94" s="2265">
        <f>AQ94+AT95-AQ95+AT96-AQ96</f>
        <v>1086</v>
      </c>
      <c r="AY94" s="2373" t="s">
        <v>1142</v>
      </c>
      <c r="AZ94" s="2374"/>
      <c r="BA94" s="2374"/>
      <c r="BB94" s="2374"/>
      <c r="BC94" s="2374"/>
      <c r="BD94" s="2374"/>
      <c r="BE94" s="2374"/>
      <c r="BF94" s="2374"/>
    </row>
    <row r="95" spans="1:58" ht="15" customHeight="1">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518" t="s">
        <v>1143</v>
      </c>
      <c r="AQ95" s="509">
        <v>1004</v>
      </c>
      <c r="AR95" s="2564" t="s">
        <v>1144</v>
      </c>
      <c r="AS95" s="2564"/>
      <c r="AT95" s="509">
        <v>1020</v>
      </c>
      <c r="AU95" s="2564" t="s">
        <v>1145</v>
      </c>
      <c r="AV95" s="2564"/>
      <c r="AW95" s="2564"/>
      <c r="AX95" s="2266">
        <f>AX94-((AQ94-AQ95)+(AT95-AQ96)+(AT96-AQ97))</f>
        <v>998</v>
      </c>
      <c r="AY95" s="2373"/>
      <c r="AZ95" s="2374"/>
      <c r="BA95" s="2374"/>
      <c r="BB95" s="2374"/>
      <c r="BC95" s="2374"/>
      <c r="BD95" s="2374"/>
      <c r="BE95" s="2374"/>
      <c r="BF95" s="2374"/>
    </row>
    <row r="96" spans="1:58" ht="15" customHeight="1">
      <c r="A96" s="153"/>
      <c r="B96" s="2375" t="s">
        <v>1486</v>
      </c>
      <c r="C96" s="2375"/>
      <c r="D96" s="2375"/>
      <c r="E96" s="2375"/>
      <c r="F96" s="2375"/>
      <c r="G96" s="2375"/>
      <c r="H96" s="2375"/>
      <c r="I96" s="2375"/>
      <c r="J96" s="2375"/>
      <c r="K96" s="2375"/>
      <c r="L96" s="2375"/>
      <c r="M96" s="2375"/>
      <c r="N96" s="2375"/>
      <c r="O96" s="2375"/>
      <c r="P96" s="2375"/>
      <c r="Q96" s="2375"/>
      <c r="R96" s="2375"/>
      <c r="S96" s="2375"/>
      <c r="T96" s="2375"/>
      <c r="U96" s="153"/>
      <c r="V96" s="153"/>
      <c r="W96" s="153"/>
      <c r="X96" s="153"/>
      <c r="Y96" s="153"/>
      <c r="Z96" s="153"/>
      <c r="AA96" s="153"/>
      <c r="AB96" s="153"/>
      <c r="AC96" t="s">
        <v>490</v>
      </c>
      <c r="AD96" t="s">
        <v>490</v>
      </c>
      <c r="AE96">
        <v>83</v>
      </c>
      <c r="AF96">
        <v>77.039</v>
      </c>
      <c r="AG96">
        <v>87.885</v>
      </c>
      <c r="AH96"/>
      <c r="AI96" t="s">
        <v>490</v>
      </c>
      <c r="AJ96" t="s">
        <v>490</v>
      </c>
      <c r="AK96" t="s">
        <v>490</v>
      </c>
      <c r="AL96" t="s">
        <v>490</v>
      </c>
      <c r="AM96" t="s">
        <v>490</v>
      </c>
      <c r="AN96" s="1031"/>
      <c r="AO96" s="153"/>
      <c r="AP96" s="518" t="s">
        <v>1151</v>
      </c>
      <c r="AQ96" s="509"/>
      <c r="AR96" s="2564" t="s">
        <v>1144</v>
      </c>
      <c r="AS96" s="2564"/>
      <c r="AT96" s="509"/>
      <c r="AU96" s="2544" t="s">
        <v>1152</v>
      </c>
      <c r="AV96" s="2544"/>
      <c r="AW96" s="2544"/>
      <c r="AX96" s="2267">
        <f>(AX94-AX95)/(7.75-(3*(AX94-1000)/800))</f>
        <v>11.847862672500842</v>
      </c>
      <c r="AY96" s="2373"/>
      <c r="AZ96" s="2374"/>
      <c r="BA96" s="2374"/>
      <c r="BB96" s="2374"/>
      <c r="BC96" s="2374"/>
      <c r="BD96" s="2374"/>
      <c r="BE96" s="2374"/>
      <c r="BF96" s="2374"/>
    </row>
    <row r="97" spans="1:58" ht="15" customHeight="1">
      <c r="A97" s="153"/>
      <c r="B97" s="2375" t="s">
        <v>1635</v>
      </c>
      <c r="C97" s="2375"/>
      <c r="D97" s="2375"/>
      <c r="E97" s="2375"/>
      <c r="F97" s="2375"/>
      <c r="G97" s="2375"/>
      <c r="H97" s="2375"/>
      <c r="I97" s="2375"/>
      <c r="J97" s="2375"/>
      <c r="K97" s="2375"/>
      <c r="L97" s="2375"/>
      <c r="M97" s="2375"/>
      <c r="N97" s="2375"/>
      <c r="O97" s="2375"/>
      <c r="P97" s="2375"/>
      <c r="Q97" s="2375"/>
      <c r="R97" s="2375"/>
      <c r="S97" s="2375"/>
      <c r="T97" s="2375"/>
      <c r="U97" s="153"/>
      <c r="V97" s="153"/>
      <c r="W97" s="153"/>
      <c r="X97" s="153"/>
      <c r="Y97" s="153"/>
      <c r="Z97" s="153"/>
      <c r="AA97" s="153"/>
      <c r="AB97" s="153"/>
      <c r="AC97" t="s">
        <v>490</v>
      </c>
      <c r="AD97" t="s">
        <v>490</v>
      </c>
      <c r="AE97">
        <v>83</v>
      </c>
      <c r="AF97">
        <v>77.039</v>
      </c>
      <c r="AG97">
        <v>87.885</v>
      </c>
      <c r="AH97"/>
      <c r="AI97" t="s">
        <v>490</v>
      </c>
      <c r="AJ97" t="s">
        <v>490</v>
      </c>
      <c r="AK97" t="s">
        <v>490</v>
      </c>
      <c r="AL97" t="s">
        <v>490</v>
      </c>
      <c r="AM97" t="s">
        <v>490</v>
      </c>
      <c r="AN97" s="1031"/>
      <c r="AO97" s="153"/>
      <c r="AP97" s="1796" t="s">
        <v>1153</v>
      </c>
      <c r="AQ97" s="2218">
        <v>998</v>
      </c>
      <c r="AR97" s="2561"/>
      <c r="AS97" s="2562"/>
      <c r="AT97" s="2219"/>
      <c r="AU97" s="2563"/>
      <c r="AV97" s="2563"/>
      <c r="AW97" s="2563"/>
      <c r="AX97" s="1399"/>
      <c r="AY97" s="2220"/>
      <c r="AZ97" s="2221"/>
      <c r="BA97" s="2221"/>
      <c r="BB97" s="2221"/>
      <c r="BC97" s="2221"/>
      <c r="BD97" s="2557" t="s">
        <v>462</v>
      </c>
      <c r="BE97" s="2557"/>
      <c r="BF97" s="2557"/>
    </row>
    <row r="98" spans="1:58" ht="15" customHeight="1">
      <c r="A98" s="153"/>
      <c r="B98" s="535"/>
      <c r="C98" s="535"/>
      <c r="D98" s="535"/>
      <c r="E98" s="535"/>
      <c r="F98" s="535"/>
      <c r="G98" s="535"/>
      <c r="H98" s="535"/>
      <c r="I98" s="535"/>
      <c r="J98" s="535"/>
      <c r="K98" s="535"/>
      <c r="L98" s="535"/>
      <c r="M98" s="535"/>
      <c r="N98" s="535"/>
      <c r="O98" s="535"/>
      <c r="P98" s="535"/>
      <c r="Q98" s="535"/>
      <c r="R98" s="535"/>
      <c r="S98" s="535"/>
      <c r="T98" s="535"/>
      <c r="U98" s="153"/>
      <c r="V98" s="153"/>
      <c r="W98" s="153"/>
      <c r="X98" s="153"/>
      <c r="Y98" s="153"/>
      <c r="Z98" s="153"/>
      <c r="AA98" s="153"/>
      <c r="AB98" s="153"/>
      <c r="AC98" t="s">
        <v>490</v>
      </c>
      <c r="AD98" t="s">
        <v>490</v>
      </c>
      <c r="AE98">
        <v>83</v>
      </c>
      <c r="AF98">
        <v>77.039</v>
      </c>
      <c r="AG98">
        <v>87.885</v>
      </c>
      <c r="AI98" t="s">
        <v>490</v>
      </c>
      <c r="AJ98" t="s">
        <v>490</v>
      </c>
      <c r="AK98" t="s">
        <v>490</v>
      </c>
      <c r="AL98" t="s">
        <v>490</v>
      </c>
      <c r="AM98" t="s">
        <v>490</v>
      </c>
      <c r="AN98" s="1031"/>
      <c r="AO98" s="153"/>
      <c r="AP98" s="231"/>
      <c r="AQ98" s="231"/>
      <c r="AR98" s="231"/>
      <c r="AS98" s="231"/>
      <c r="AT98" s="231"/>
      <c r="AU98" s="231"/>
      <c r="AV98" s="231"/>
      <c r="AW98" s="231"/>
      <c r="AX98" s="231"/>
      <c r="AY98" s="231"/>
      <c r="AZ98" s="2378" t="s">
        <v>284</v>
      </c>
      <c r="BA98" s="2378"/>
      <c r="BB98" s="2378"/>
      <c r="BC98" s="2378"/>
      <c r="BD98" s="2379" t="s">
        <v>319</v>
      </c>
      <c r="BE98" s="2379"/>
      <c r="BF98" s="2379"/>
    </row>
    <row r="99" spans="1:58" ht="13.5" customHeight="1">
      <c r="A99" s="153"/>
      <c r="B99" s="535"/>
      <c r="C99" s="541"/>
      <c r="D99" s="535"/>
      <c r="E99" s="1031"/>
      <c r="F99" s="1031"/>
      <c r="G99" s="2385" t="s">
        <v>928</v>
      </c>
      <c r="H99" s="2385"/>
      <c r="I99" s="2385"/>
      <c r="J99" s="2385"/>
      <c r="K99" s="2385"/>
      <c r="L99" s="2217"/>
      <c r="M99" s="2217"/>
      <c r="N99" s="153"/>
      <c r="O99" s="153"/>
      <c r="P99" s="153"/>
      <c r="Q99" s="153"/>
      <c r="R99" s="153"/>
      <c r="S99" s="153"/>
      <c r="T99" s="153"/>
      <c r="U99" s="153"/>
      <c r="V99" s="153"/>
      <c r="W99" s="153"/>
      <c r="X99" s="153"/>
      <c r="Y99" s="153"/>
      <c r="Z99" s="153"/>
      <c r="AA99" s="153"/>
      <c r="AB99" s="153"/>
      <c r="AC99" t="s">
        <v>490</v>
      </c>
      <c r="AD99" t="s">
        <v>490</v>
      </c>
      <c r="AE99">
        <v>83</v>
      </c>
      <c r="AF99">
        <v>77.039</v>
      </c>
      <c r="AG99">
        <v>87.885</v>
      </c>
      <c r="AI99" t="s">
        <v>490</v>
      </c>
      <c r="AJ99" t="s">
        <v>490</v>
      </c>
      <c r="AK99" t="s">
        <v>490</v>
      </c>
      <c r="AL99" t="s">
        <v>490</v>
      </c>
      <c r="AM99" t="s">
        <v>490</v>
      </c>
      <c r="AN99" s="1031"/>
      <c r="AO99" s="153"/>
      <c r="AP99" s="231"/>
      <c r="AQ99" s="231"/>
      <c r="AR99" s="231"/>
      <c r="AS99" s="231"/>
      <c r="AT99" s="231"/>
      <c r="AU99" s="231"/>
      <c r="AV99" s="231"/>
      <c r="AW99" s="231"/>
      <c r="AX99" s="231"/>
      <c r="AY99" s="231"/>
      <c r="AZ99" s="2378" t="s">
        <v>643</v>
      </c>
      <c r="BA99" s="2378"/>
      <c r="BB99" s="2378"/>
      <c r="BC99" s="2378"/>
      <c r="BD99" s="2376" t="s">
        <v>645</v>
      </c>
      <c r="BE99" s="2376"/>
      <c r="BF99" s="2376"/>
    </row>
    <row r="100" spans="1:58" ht="13.5">
      <c r="A100" s="153"/>
      <c r="B100" s="113"/>
      <c r="C100" s="541"/>
      <c r="D100" s="535"/>
      <c r="E100" s="535"/>
      <c r="F100" s="535"/>
      <c r="G100" s="2385"/>
      <c r="H100" s="2385"/>
      <c r="I100" s="2385"/>
      <c r="J100" s="2385"/>
      <c r="K100" s="2385"/>
      <c r="L100" s="2217"/>
      <c r="M100" s="2217"/>
      <c r="N100" s="153"/>
      <c r="O100" s="153"/>
      <c r="P100" s="153"/>
      <c r="Q100" s="153"/>
      <c r="R100" s="153"/>
      <c r="S100" s="153"/>
      <c r="T100" s="153"/>
      <c r="U100" s="153"/>
      <c r="V100" s="153"/>
      <c r="W100" s="153"/>
      <c r="X100" s="153"/>
      <c r="Y100" s="153"/>
      <c r="Z100" s="153"/>
      <c r="AA100" s="153"/>
      <c r="AB100" s="153"/>
      <c r="AC100" t="s">
        <v>490</v>
      </c>
      <c r="AD100" t="s">
        <v>490</v>
      </c>
      <c r="AE100">
        <v>83</v>
      </c>
      <c r="AF100">
        <v>77.039</v>
      </c>
      <c r="AG100">
        <v>87.885</v>
      </c>
      <c r="AI100" t="s">
        <v>490</v>
      </c>
      <c r="AJ100" t="s">
        <v>490</v>
      </c>
      <c r="AK100" t="s">
        <v>490</v>
      </c>
      <c r="AL100" t="s">
        <v>490</v>
      </c>
      <c r="AM100" t="s">
        <v>490</v>
      </c>
      <c r="AN100" s="1031"/>
      <c r="AO100" s="2377" t="s">
        <v>929</v>
      </c>
      <c r="AP100" s="2398"/>
      <c r="AQ100" s="2398"/>
      <c r="AR100" s="2398"/>
      <c r="AS100" s="2398"/>
      <c r="AT100" s="2398"/>
      <c r="AU100" s="231"/>
      <c r="AV100" s="231"/>
      <c r="AW100" s="231"/>
      <c r="AX100" s="231"/>
      <c r="AY100" s="231"/>
      <c r="AZ100" s="2378" t="s">
        <v>350</v>
      </c>
      <c r="BA100" s="2378"/>
      <c r="BB100" s="2378"/>
      <c r="BC100" s="2378"/>
      <c r="BD100" s="2386" t="s">
        <v>321</v>
      </c>
      <c r="BE100" s="2386"/>
      <c r="BF100" s="2386"/>
    </row>
    <row r="101" spans="1:58" ht="13.5" hidden="1">
      <c r="A101" s="153"/>
      <c r="B101" s="351" t="s">
        <v>490</v>
      </c>
      <c r="C101" s="222"/>
      <c r="D101" s="222"/>
      <c r="E101" s="271">
        <f aca="true" t="shared" si="13" ref="E101:AB101">$C46*E46/1000</f>
        <v>0</v>
      </c>
      <c r="F101" s="272">
        <f t="shared" si="13"/>
        <v>2</v>
      </c>
      <c r="G101" s="271">
        <f t="shared" si="13"/>
        <v>4</v>
      </c>
      <c r="H101" s="271">
        <f t="shared" si="13"/>
        <v>6</v>
      </c>
      <c r="I101" s="271">
        <f t="shared" si="13"/>
        <v>8</v>
      </c>
      <c r="J101" s="271">
        <f t="shared" si="13"/>
        <v>10</v>
      </c>
      <c r="K101" s="271">
        <f t="shared" si="13"/>
        <v>12</v>
      </c>
      <c r="L101" s="271">
        <f t="shared" si="13"/>
        <v>14</v>
      </c>
      <c r="M101" s="271">
        <f t="shared" si="13"/>
        <v>16</v>
      </c>
      <c r="N101" s="271">
        <f t="shared" si="13"/>
        <v>18</v>
      </c>
      <c r="O101" s="271">
        <f t="shared" si="13"/>
        <v>20</v>
      </c>
      <c r="P101" s="271">
        <f t="shared" si="13"/>
        <v>22</v>
      </c>
      <c r="Q101" s="271">
        <f t="shared" si="13"/>
        <v>24</v>
      </c>
      <c r="R101" s="271">
        <f t="shared" si="13"/>
        <v>26</v>
      </c>
      <c r="S101" s="271">
        <f t="shared" si="13"/>
        <v>28</v>
      </c>
      <c r="T101" s="271">
        <f t="shared" si="13"/>
        <v>30</v>
      </c>
      <c r="U101" s="271">
        <f t="shared" si="13"/>
        <v>32</v>
      </c>
      <c r="V101" s="271">
        <f t="shared" si="13"/>
        <v>34</v>
      </c>
      <c r="W101" s="271">
        <f t="shared" si="13"/>
        <v>36</v>
      </c>
      <c r="X101" s="271">
        <f t="shared" si="13"/>
        <v>38</v>
      </c>
      <c r="Y101" s="271">
        <f t="shared" si="13"/>
        <v>40</v>
      </c>
      <c r="Z101" s="271">
        <f t="shared" si="13"/>
        <v>42</v>
      </c>
      <c r="AA101" s="153"/>
      <c r="AB101" s="271">
        <f t="shared" si="13"/>
        <v>46</v>
      </c>
      <c r="AC101" s="201"/>
      <c r="AD101" s="201"/>
      <c r="AE101" s="2205">
        <v>84</v>
      </c>
      <c r="AF101" s="2206">
        <v>78.233</v>
      </c>
      <c r="AG101" s="2205">
        <v>88.678</v>
      </c>
      <c r="AI101" s="201"/>
      <c r="AJ101" s="201"/>
      <c r="AK101" s="201"/>
      <c r="AL101" s="201"/>
      <c r="AM101" s="201"/>
      <c r="AN101" s="201"/>
      <c r="AO101" s="201"/>
      <c r="AP101" s="201"/>
      <c r="AQ101" s="201"/>
      <c r="AR101" s="201"/>
      <c r="AS101" s="201"/>
      <c r="AT101" s="201"/>
      <c r="AU101" s="201"/>
      <c r="AV101" s="201"/>
      <c r="AW101" s="201"/>
      <c r="AX101" s="201"/>
      <c r="AY101" s="231"/>
      <c r="AZ101" s="201"/>
      <c r="BA101" s="201"/>
      <c r="BB101" s="201"/>
      <c r="BC101" s="201"/>
      <c r="BD101" s="201"/>
      <c r="BE101" s="201"/>
      <c r="BF101" s="201"/>
    </row>
    <row r="102" spans="1:58" ht="13.5" hidden="1">
      <c r="A102" s="153"/>
      <c r="B102" s="325"/>
      <c r="C102" s="222"/>
      <c r="D102" s="222"/>
      <c r="E102" s="273">
        <f aca="true" t="shared" si="14" ref="E102:AB102">$M45-E101</f>
        <v>22.4</v>
      </c>
      <c r="F102" s="274">
        <f t="shared" si="14"/>
        <v>20.4</v>
      </c>
      <c r="G102" s="273">
        <f t="shared" si="14"/>
        <v>18.4</v>
      </c>
      <c r="H102" s="273">
        <f t="shared" si="14"/>
        <v>16.4</v>
      </c>
      <c r="I102" s="273">
        <f t="shared" si="14"/>
        <v>14.399999999999999</v>
      </c>
      <c r="J102" s="273">
        <f t="shared" si="14"/>
        <v>12.399999999999999</v>
      </c>
      <c r="K102" s="273">
        <f t="shared" si="14"/>
        <v>10.399999999999999</v>
      </c>
      <c r="L102" s="273">
        <f t="shared" si="14"/>
        <v>8.399999999999999</v>
      </c>
      <c r="M102" s="273">
        <f t="shared" si="14"/>
        <v>6.399999999999999</v>
      </c>
      <c r="N102" s="273">
        <f t="shared" si="14"/>
        <v>4.399999999999999</v>
      </c>
      <c r="O102" s="273">
        <f t="shared" si="14"/>
        <v>2.3999999999999986</v>
      </c>
      <c r="P102" s="273">
        <f t="shared" si="14"/>
        <v>0.3999999999999986</v>
      </c>
      <c r="Q102" s="273">
        <f t="shared" si="14"/>
        <v>-1.6000000000000014</v>
      </c>
      <c r="R102" s="273">
        <f t="shared" si="14"/>
        <v>-3.6000000000000014</v>
      </c>
      <c r="S102" s="273">
        <f t="shared" si="14"/>
        <v>-5.600000000000001</v>
      </c>
      <c r="T102" s="273">
        <f t="shared" si="14"/>
        <v>-7.600000000000001</v>
      </c>
      <c r="U102" s="273">
        <f t="shared" si="14"/>
        <v>-9.600000000000001</v>
      </c>
      <c r="V102" s="273">
        <f t="shared" si="14"/>
        <v>-11.600000000000001</v>
      </c>
      <c r="W102" s="273">
        <f t="shared" si="14"/>
        <v>-13.600000000000001</v>
      </c>
      <c r="X102" s="273">
        <f t="shared" si="14"/>
        <v>-15.600000000000001</v>
      </c>
      <c r="Y102" s="273">
        <f t="shared" si="14"/>
        <v>-17.6</v>
      </c>
      <c r="Z102" s="273">
        <f t="shared" si="14"/>
        <v>-19.6</v>
      </c>
      <c r="AA102" s="153"/>
      <c r="AB102" s="273">
        <f t="shared" si="14"/>
        <v>-23.6</v>
      </c>
      <c r="AC102" s="201"/>
      <c r="AD102" s="201"/>
      <c r="AE102" s="2205">
        <v>85</v>
      </c>
      <c r="AF102" s="2206">
        <v>79.441</v>
      </c>
      <c r="AG102" s="2205">
        <v>89.464</v>
      </c>
      <c r="AI102" s="201"/>
      <c r="AJ102" s="201"/>
      <c r="AK102" s="201"/>
      <c r="AL102" s="201"/>
      <c r="AM102" s="201"/>
      <c r="AN102" s="201"/>
      <c r="AO102" s="201"/>
      <c r="AP102" s="201"/>
      <c r="AQ102" s="201"/>
      <c r="AR102" s="201"/>
      <c r="AS102" s="201"/>
      <c r="AT102" s="201"/>
      <c r="AU102" s="201"/>
      <c r="AV102" s="201"/>
      <c r="AW102" s="201"/>
      <c r="AX102" s="201"/>
      <c r="AY102" s="231"/>
      <c r="AZ102" s="201"/>
      <c r="BA102" s="201"/>
      <c r="BB102" s="201"/>
      <c r="BC102" s="201"/>
      <c r="BD102" s="201"/>
      <c r="BE102" s="201"/>
      <c r="BF102" s="201"/>
    </row>
    <row r="103" spans="1:58" ht="15" customHeight="1" hidden="1">
      <c r="A103" s="153"/>
      <c r="B103" s="326"/>
      <c r="C103" s="222"/>
      <c r="D103" s="222"/>
      <c r="E103" s="273">
        <f aca="true" t="shared" si="15" ref="E103:AB103">1000*E102/$C$47</f>
        <v>49.77777777777778</v>
      </c>
      <c r="F103" s="274">
        <f t="shared" si="15"/>
        <v>45.333333333333336</v>
      </c>
      <c r="G103" s="273">
        <f t="shared" si="15"/>
        <v>40.888888888888886</v>
      </c>
      <c r="H103" s="273">
        <f t="shared" si="15"/>
        <v>36.44444444444444</v>
      </c>
      <c r="I103" s="273">
        <f t="shared" si="15"/>
        <v>31.999999999999996</v>
      </c>
      <c r="J103" s="273">
        <f t="shared" si="15"/>
        <v>27.55555555555555</v>
      </c>
      <c r="K103" s="273">
        <f t="shared" si="15"/>
        <v>23.111111111111107</v>
      </c>
      <c r="L103" s="273">
        <f t="shared" si="15"/>
        <v>18.666666666666664</v>
      </c>
      <c r="M103" s="273">
        <f t="shared" si="15"/>
        <v>14.222222222222218</v>
      </c>
      <c r="N103" s="273">
        <f t="shared" si="15"/>
        <v>9.777777777777773</v>
      </c>
      <c r="O103" s="273">
        <f t="shared" si="15"/>
        <v>5.33333333333333</v>
      </c>
      <c r="P103" s="273">
        <f t="shared" si="15"/>
        <v>0.8888888888888857</v>
      </c>
      <c r="Q103" s="273">
        <f t="shared" si="15"/>
        <v>-3.5555555555555585</v>
      </c>
      <c r="R103" s="273">
        <f t="shared" si="15"/>
        <v>-8.000000000000004</v>
      </c>
      <c r="S103" s="273">
        <f t="shared" si="15"/>
        <v>-12.444444444444448</v>
      </c>
      <c r="T103" s="273">
        <f t="shared" si="15"/>
        <v>-16.888888888888893</v>
      </c>
      <c r="U103" s="273">
        <f t="shared" si="15"/>
        <v>-21.333333333333336</v>
      </c>
      <c r="V103" s="273">
        <f t="shared" si="15"/>
        <v>-25.777777777777782</v>
      </c>
      <c r="W103" s="273">
        <f t="shared" si="15"/>
        <v>-30.222222222222225</v>
      </c>
      <c r="X103" s="273">
        <f t="shared" si="15"/>
        <v>-34.66666666666667</v>
      </c>
      <c r="Y103" s="273">
        <f t="shared" si="15"/>
        <v>-39.111111111111114</v>
      </c>
      <c r="Z103" s="273">
        <f t="shared" si="15"/>
        <v>-43.55555555555556</v>
      </c>
      <c r="AA103" s="153"/>
      <c r="AB103" s="273">
        <f t="shared" si="15"/>
        <v>-52.44444444444444</v>
      </c>
      <c r="AC103" s="201"/>
      <c r="AD103" s="201"/>
      <c r="AE103" s="2205">
        <v>86</v>
      </c>
      <c r="AF103" s="2206">
        <v>80.662</v>
      </c>
      <c r="AG103" s="2205">
        <v>90.24</v>
      </c>
      <c r="AI103" s="201"/>
      <c r="AJ103" s="201"/>
      <c r="AK103" s="201"/>
      <c r="AL103" s="201"/>
      <c r="AM103" s="201"/>
      <c r="AN103" s="201"/>
      <c r="AO103" s="201"/>
      <c r="AP103" s="201"/>
      <c r="AQ103" s="201"/>
      <c r="AR103" s="201"/>
      <c r="AS103" s="201"/>
      <c r="AT103" s="201"/>
      <c r="AU103" s="201"/>
      <c r="AV103" s="201"/>
      <c r="AW103" s="201"/>
      <c r="AX103" s="201"/>
      <c r="AY103" s="231"/>
      <c r="AZ103" s="201"/>
      <c r="BA103" s="201"/>
      <c r="BB103" s="201"/>
      <c r="BC103" s="201"/>
      <c r="BD103" s="201"/>
      <c r="BE103" s="201"/>
      <c r="BF103" s="201"/>
    </row>
    <row r="104" spans="1:58" ht="13.5">
      <c r="A104" s="153"/>
      <c r="B104" s="4"/>
      <c r="C104" s="108"/>
      <c r="D104" s="4"/>
      <c r="E104" s="4"/>
      <c r="F104" s="4"/>
      <c r="G104" s="4"/>
      <c r="H104" s="4"/>
      <c r="I104" s="4"/>
      <c r="J104" s="4"/>
      <c r="K104" s="4"/>
      <c r="L104" s="4"/>
      <c r="M104" s="4"/>
      <c r="N104" s="4"/>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row>
    <row r="105" spans="31:39" ht="13.5">
      <c r="AE105" s="2205">
        <v>88</v>
      </c>
      <c r="AF105" s="2206">
        <v>83.144</v>
      </c>
      <c r="AG105" s="2205">
        <v>91.776</v>
      </c>
      <c r="AI105" s="201"/>
      <c r="AJ105" s="201"/>
      <c r="AK105" s="201"/>
      <c r="AL105" s="201"/>
      <c r="AM105" s="201"/>
    </row>
    <row r="106" spans="31:39" ht="13.5">
      <c r="AE106" s="2205">
        <v>89</v>
      </c>
      <c r="AF106" s="2206">
        <v>84.408</v>
      </c>
      <c r="AG106" s="2205">
        <v>92.517</v>
      </c>
      <c r="AI106" s="201"/>
      <c r="AJ106" s="201"/>
      <c r="AK106" s="201"/>
      <c r="AL106" s="201"/>
      <c r="AM106" s="201"/>
    </row>
    <row r="107" spans="31:39" ht="13.5">
      <c r="AE107" s="2205">
        <v>89</v>
      </c>
      <c r="AF107" s="2206">
        <v>84.408</v>
      </c>
      <c r="AG107" s="2205">
        <v>92.517</v>
      </c>
      <c r="AI107" s="201"/>
      <c r="AJ107" s="201"/>
      <c r="AK107" s="201"/>
      <c r="AL107" s="201"/>
      <c r="AM107" s="201"/>
    </row>
    <row r="108" spans="31:39" ht="13.5">
      <c r="AE108" s="2205">
        <v>89</v>
      </c>
      <c r="AF108" s="2206">
        <v>84.408</v>
      </c>
      <c r="AG108" s="2205">
        <v>92.517</v>
      </c>
      <c r="AI108" s="201"/>
      <c r="AJ108" s="201"/>
      <c r="AK108" s="201"/>
      <c r="AL108" s="201"/>
      <c r="AM108" s="201"/>
    </row>
    <row r="109" spans="31:39" ht="13.5">
      <c r="AE109" s="2205">
        <v>89</v>
      </c>
      <c r="AF109" s="2206">
        <v>84.408</v>
      </c>
      <c r="AG109" s="2205">
        <v>92.517</v>
      </c>
      <c r="AI109" s="201"/>
      <c r="AJ109" s="201"/>
      <c r="AK109" s="201"/>
      <c r="AL109" s="201"/>
      <c r="AM109" s="201"/>
    </row>
    <row r="110" spans="31:39" ht="13.5">
      <c r="AE110" s="2205">
        <v>89</v>
      </c>
      <c r="AF110" s="2206">
        <v>84.408</v>
      </c>
      <c r="AG110" s="2205">
        <v>92.517</v>
      </c>
      <c r="AI110" s="201"/>
      <c r="AJ110" s="201"/>
      <c r="AK110" s="201"/>
      <c r="AL110" s="201"/>
      <c r="AM110" s="201"/>
    </row>
    <row r="111" spans="31:39" ht="13.5">
      <c r="AE111" s="2205">
        <v>89</v>
      </c>
      <c r="AF111" s="2206">
        <v>84.408</v>
      </c>
      <c r="AG111" s="2205">
        <v>92.517</v>
      </c>
      <c r="AI111" s="201"/>
      <c r="AJ111" s="201"/>
      <c r="AK111" s="201"/>
      <c r="AL111" s="201"/>
      <c r="AM111" s="201"/>
    </row>
    <row r="112" spans="31:39" ht="13.5">
      <c r="AE112" s="2205">
        <v>89</v>
      </c>
      <c r="AF112" s="2206">
        <v>84.408</v>
      </c>
      <c r="AG112" s="2205">
        <v>92.517</v>
      </c>
      <c r="AI112" s="201"/>
      <c r="AJ112" s="201"/>
      <c r="AK112" s="201"/>
      <c r="AL112" s="201"/>
      <c r="AM112" s="201"/>
    </row>
    <row r="113" spans="31:39" ht="13.5">
      <c r="AE113" s="2205">
        <v>89</v>
      </c>
      <c r="AF113" s="2206">
        <v>84.408</v>
      </c>
      <c r="AG113" s="2205">
        <v>92.517</v>
      </c>
      <c r="AI113" s="201"/>
      <c r="AJ113" s="201"/>
      <c r="AK113" s="201"/>
      <c r="AL113" s="201"/>
      <c r="AM113" s="201"/>
    </row>
    <row r="114" spans="31:39" ht="13.5">
      <c r="AE114" s="2205">
        <v>89</v>
      </c>
      <c r="AF114" s="2206">
        <v>84.408</v>
      </c>
      <c r="AG114" s="2205">
        <v>92.517</v>
      </c>
      <c r="AI114" s="201"/>
      <c r="AJ114" s="201"/>
      <c r="AK114" s="201"/>
      <c r="AL114" s="201"/>
      <c r="AM114" s="201"/>
    </row>
    <row r="115" spans="31:39" ht="13.5">
      <c r="AE115" s="2205">
        <v>89</v>
      </c>
      <c r="AF115" s="2206">
        <v>84.408</v>
      </c>
      <c r="AG115" s="2205">
        <v>92.517</v>
      </c>
      <c r="AI115" s="201"/>
      <c r="AJ115" s="201"/>
      <c r="AK115" s="201"/>
      <c r="AL115" s="201"/>
      <c r="AM115" s="201"/>
    </row>
    <row r="116" spans="31:39" ht="13.5">
      <c r="AE116" s="2205">
        <v>89</v>
      </c>
      <c r="AF116" s="2206">
        <v>84.408</v>
      </c>
      <c r="AG116" s="2205">
        <v>92.517</v>
      </c>
      <c r="AI116" s="201"/>
      <c r="AJ116" s="201"/>
      <c r="AK116" s="201"/>
      <c r="AL116" s="201"/>
      <c r="AM116" s="201"/>
    </row>
    <row r="117" spans="31:39" ht="13.5">
      <c r="AE117" s="2205">
        <v>89</v>
      </c>
      <c r="AF117" s="2206">
        <v>84.408</v>
      </c>
      <c r="AG117" s="2205">
        <v>92.517</v>
      </c>
      <c r="AI117" s="201"/>
      <c r="AJ117" s="201"/>
      <c r="AK117" s="201"/>
      <c r="AL117" s="201"/>
      <c r="AM117" s="201"/>
    </row>
    <row r="118" spans="31:39" ht="13.5">
      <c r="AE118" s="2205">
        <v>89</v>
      </c>
      <c r="AF118" s="2206">
        <v>84.408</v>
      </c>
      <c r="AG118" s="2205">
        <v>92.517</v>
      </c>
      <c r="AI118" s="201"/>
      <c r="AJ118" s="201"/>
      <c r="AK118" s="201"/>
      <c r="AL118" s="201"/>
      <c r="AM118" s="201"/>
    </row>
    <row r="119" spans="31:39" ht="13.5">
      <c r="AE119" s="2205">
        <v>89</v>
      </c>
      <c r="AF119" s="2206">
        <v>84.408</v>
      </c>
      <c r="AG119" s="2205">
        <v>92.517</v>
      </c>
      <c r="AI119" s="201"/>
      <c r="AJ119" s="201"/>
      <c r="AK119" s="201"/>
      <c r="AL119" s="201"/>
      <c r="AM119" s="201"/>
    </row>
    <row r="120" spans="31:39" ht="13.5">
      <c r="AE120" s="2205">
        <v>89</v>
      </c>
      <c r="AF120" s="2206">
        <v>84.408</v>
      </c>
      <c r="AG120" s="2205">
        <v>92.517</v>
      </c>
      <c r="AI120" s="201"/>
      <c r="AJ120" s="201"/>
      <c r="AK120" s="201"/>
      <c r="AL120" s="201"/>
      <c r="AM120" s="201"/>
    </row>
    <row r="121" spans="31:39" ht="13.5">
      <c r="AE121" s="2205">
        <v>89</v>
      </c>
      <c r="AF121" s="2206">
        <v>84.408</v>
      </c>
      <c r="AG121" s="2205">
        <v>92.517</v>
      </c>
      <c r="AI121" s="201"/>
      <c r="AJ121" s="201"/>
      <c r="AK121" s="201"/>
      <c r="AL121" s="201"/>
      <c r="AM121" s="201"/>
    </row>
    <row r="122" spans="31:39" ht="13.5">
      <c r="AE122" s="2205">
        <v>89</v>
      </c>
      <c r="AF122" s="2206">
        <v>84.408</v>
      </c>
      <c r="AG122" s="2205">
        <v>92.517</v>
      </c>
      <c r="AI122" s="201"/>
      <c r="AJ122" s="201"/>
      <c r="AK122" s="201"/>
      <c r="AL122" s="201"/>
      <c r="AM122" s="201"/>
    </row>
    <row r="123" spans="31:39" ht="13.5">
      <c r="AE123" s="2205">
        <v>89</v>
      </c>
      <c r="AF123" s="2206">
        <v>84.408</v>
      </c>
      <c r="AG123" s="2205">
        <v>92.517</v>
      </c>
      <c r="AI123" s="201"/>
      <c r="AJ123" s="201"/>
      <c r="AK123" s="201"/>
      <c r="AL123" s="201"/>
      <c r="AM123" s="201"/>
    </row>
    <row r="124" spans="31:39" ht="13.5">
      <c r="AE124" s="2205">
        <v>89</v>
      </c>
      <c r="AF124" s="2206">
        <v>84.408</v>
      </c>
      <c r="AG124" s="2205">
        <v>92.517</v>
      </c>
      <c r="AI124" s="201"/>
      <c r="AJ124" s="201"/>
      <c r="AK124" s="201"/>
      <c r="AL124" s="201"/>
      <c r="AM124" s="201"/>
    </row>
    <row r="125" spans="31:39" ht="13.5">
      <c r="AE125" s="2205">
        <v>89</v>
      </c>
      <c r="AF125" s="2206">
        <v>84.408</v>
      </c>
      <c r="AG125" s="2205">
        <v>92.517</v>
      </c>
      <c r="AI125" s="201"/>
      <c r="AJ125" s="201"/>
      <c r="AK125" s="201"/>
      <c r="AL125" s="201"/>
      <c r="AM125" s="201"/>
    </row>
    <row r="126" spans="31:39" ht="13.5">
      <c r="AE126" s="2205">
        <v>89</v>
      </c>
      <c r="AF126" s="2206">
        <v>84.408</v>
      </c>
      <c r="AG126" s="2205">
        <v>92.517</v>
      </c>
      <c r="AI126" s="201"/>
      <c r="AJ126" s="201"/>
      <c r="AK126" s="201"/>
      <c r="AL126" s="201"/>
      <c r="AM126" s="201"/>
    </row>
    <row r="127" spans="31:39" ht="13.5">
      <c r="AE127" s="2205">
        <v>89</v>
      </c>
      <c r="AF127" s="2206">
        <v>84.408</v>
      </c>
      <c r="AG127" s="2205">
        <v>92.517</v>
      </c>
      <c r="AI127" s="201"/>
      <c r="AJ127" s="201"/>
      <c r="AK127" s="201"/>
      <c r="AL127" s="201"/>
      <c r="AM127" s="201"/>
    </row>
    <row r="128" spans="31:39" ht="13.5">
      <c r="AE128" s="2205">
        <v>89</v>
      </c>
      <c r="AF128" s="2206">
        <v>84.408</v>
      </c>
      <c r="AG128" s="2205">
        <v>92.517</v>
      </c>
      <c r="AI128" s="201"/>
      <c r="AJ128" s="201"/>
      <c r="AK128" s="201"/>
      <c r="AL128" s="201"/>
      <c r="AM128" s="201"/>
    </row>
    <row r="129" spans="31:39" ht="13.5">
      <c r="AE129" s="2205">
        <v>89</v>
      </c>
      <c r="AF129" s="2206">
        <v>84.408</v>
      </c>
      <c r="AG129" s="2205">
        <v>92.517</v>
      </c>
      <c r="AI129" s="201"/>
      <c r="AJ129" s="201"/>
      <c r="AK129" s="201"/>
      <c r="AL129" s="201"/>
      <c r="AM129" s="201"/>
    </row>
    <row r="130" spans="31:39" ht="13.5">
      <c r="AE130" s="2205">
        <v>89</v>
      </c>
      <c r="AF130" s="2206">
        <v>84.408</v>
      </c>
      <c r="AG130" s="2205">
        <v>92.517</v>
      </c>
      <c r="AI130" s="201"/>
      <c r="AJ130" s="201"/>
      <c r="AK130" s="201"/>
      <c r="AL130" s="201"/>
      <c r="AM130" s="201"/>
    </row>
    <row r="131" spans="31:39" ht="13.5">
      <c r="AE131" s="2205">
        <v>89</v>
      </c>
      <c r="AF131" s="2206">
        <v>84.408</v>
      </c>
      <c r="AG131" s="2205">
        <v>92.517</v>
      </c>
      <c r="AI131" s="201"/>
      <c r="AJ131" s="201"/>
      <c r="AK131" s="201"/>
      <c r="AL131" s="201"/>
      <c r="AM131" s="201"/>
    </row>
    <row r="132" spans="31:39" ht="13.5">
      <c r="AE132" s="2205">
        <v>89</v>
      </c>
      <c r="AF132" s="2206">
        <v>84.408</v>
      </c>
      <c r="AG132" s="2205">
        <v>92.517</v>
      </c>
      <c r="AI132" s="201"/>
      <c r="AJ132" s="201"/>
      <c r="AK132" s="201"/>
      <c r="AL132" s="201"/>
      <c r="AM132" s="201"/>
    </row>
  </sheetData>
  <sheetProtection password="FA80" sheet="1" objects="1" scenarios="1"/>
  <mergeCells count="213">
    <mergeCell ref="BD29:BD30"/>
    <mergeCell ref="BA34:BC34"/>
    <mergeCell ref="AT39:AW39"/>
    <mergeCell ref="AU31:AW31"/>
    <mergeCell ref="AR34:AW34"/>
    <mergeCell ref="AR29:AT29"/>
    <mergeCell ref="AR32:AW32"/>
    <mergeCell ref="AU30:AW30"/>
    <mergeCell ref="AR31:AT31"/>
    <mergeCell ref="AT36:AW36"/>
    <mergeCell ref="D61:E61"/>
    <mergeCell ref="J60:K60"/>
    <mergeCell ref="H60:I60"/>
    <mergeCell ref="F60:G60"/>
    <mergeCell ref="BD97:BF97"/>
    <mergeCell ref="BC89:BF89"/>
    <mergeCell ref="BC88:BF88"/>
    <mergeCell ref="AY87:BA87"/>
    <mergeCell ref="AP90:BF91"/>
    <mergeCell ref="AR97:AS97"/>
    <mergeCell ref="AU97:AW97"/>
    <mergeCell ref="AR95:AS95"/>
    <mergeCell ref="AU95:AW95"/>
    <mergeCell ref="AR96:AS96"/>
    <mergeCell ref="AO1:AP1"/>
    <mergeCell ref="AP4:AP7"/>
    <mergeCell ref="AP28:AQ28"/>
    <mergeCell ref="AA1:AB1"/>
    <mergeCell ref="Y2:AB2"/>
    <mergeCell ref="Y13:Z13"/>
    <mergeCell ref="Y14:AA14"/>
    <mergeCell ref="AO93:AP93"/>
    <mergeCell ref="K82:L82"/>
    <mergeCell ref="M82:N82"/>
    <mergeCell ref="O82:P82"/>
    <mergeCell ref="R82:S82"/>
    <mergeCell ref="T82:U82"/>
    <mergeCell ref="AU96:AW96"/>
    <mergeCell ref="AQ93:AW93"/>
    <mergeCell ref="AR94:AS94"/>
    <mergeCell ref="AU94:AW94"/>
    <mergeCell ref="BC87:BF87"/>
    <mergeCell ref="AV87:AX87"/>
    <mergeCell ref="AY88:BA88"/>
    <mergeCell ref="AV89:AX89"/>
    <mergeCell ref="AV88:AX88"/>
    <mergeCell ref="AY89:BA89"/>
    <mergeCell ref="U87:Z89"/>
    <mergeCell ref="AP85:AR85"/>
    <mergeCell ref="AP84:AR84"/>
    <mergeCell ref="AP83:AX83"/>
    <mergeCell ref="D69:F69"/>
    <mergeCell ref="B80:C80"/>
    <mergeCell ref="H81:I81"/>
    <mergeCell ref="R81:S81"/>
    <mergeCell ref="B74:K74"/>
    <mergeCell ref="B76:C76"/>
    <mergeCell ref="B77:C77"/>
    <mergeCell ref="K76:M76"/>
    <mergeCell ref="O81:P81"/>
    <mergeCell ref="O69:S69"/>
    <mergeCell ref="H24:T24"/>
    <mergeCell ref="E19:G19"/>
    <mergeCell ref="H23:T23"/>
    <mergeCell ref="H15:U16"/>
    <mergeCell ref="H19:J19"/>
    <mergeCell ref="H22:T22"/>
    <mergeCell ref="J20:U20"/>
    <mergeCell ref="P19:Q19"/>
    <mergeCell ref="C48:D48"/>
    <mergeCell ref="I1:P1"/>
    <mergeCell ref="H13:M13"/>
    <mergeCell ref="B3:R3"/>
    <mergeCell ref="I5:P5"/>
    <mergeCell ref="C8:D8"/>
    <mergeCell ref="H7:U12"/>
    <mergeCell ref="E13:G13"/>
    <mergeCell ref="E14:F14"/>
    <mergeCell ref="E16:F16"/>
    <mergeCell ref="AY84:BF85"/>
    <mergeCell ref="B26:E26"/>
    <mergeCell ref="B55:H55"/>
    <mergeCell ref="A41:B41"/>
    <mergeCell ref="R53:AA53"/>
    <mergeCell ref="D51:O51"/>
    <mergeCell ref="I55:R55"/>
    <mergeCell ref="C45:D45"/>
    <mergeCell ref="F45:J45"/>
    <mergeCell ref="B50:F50"/>
    <mergeCell ref="E77:I77"/>
    <mergeCell ref="AV78:AX78"/>
    <mergeCell ref="BC78:BF78"/>
    <mergeCell ref="AY86:BA86"/>
    <mergeCell ref="AV86:AX86"/>
    <mergeCell ref="AV84:AX85"/>
    <mergeCell ref="AY79:BA79"/>
    <mergeCell ref="AV79:AX79"/>
    <mergeCell ref="BC86:BF86"/>
    <mergeCell ref="AP80:BF81"/>
    <mergeCell ref="F61:G61"/>
    <mergeCell ref="F58:J58"/>
    <mergeCell ref="J61:K61"/>
    <mergeCell ref="L63:M63"/>
    <mergeCell ref="F62:G62"/>
    <mergeCell ref="F63:G63"/>
    <mergeCell ref="J62:K62"/>
    <mergeCell ref="H62:I62"/>
    <mergeCell ref="J63:K63"/>
    <mergeCell ref="H63:I63"/>
    <mergeCell ref="AY41:BC41"/>
    <mergeCell ref="L60:M60"/>
    <mergeCell ref="AU29:AW29"/>
    <mergeCell ref="H61:I61"/>
    <mergeCell ref="N61:O61"/>
    <mergeCell ref="D52:O52"/>
    <mergeCell ref="B43:S43"/>
    <mergeCell ref="B38:E38"/>
    <mergeCell ref="R51:AA52"/>
    <mergeCell ref="N45:O45"/>
    <mergeCell ref="D82:E82"/>
    <mergeCell ref="D81:E81"/>
    <mergeCell ref="K81:L81"/>
    <mergeCell ref="M81:N81"/>
    <mergeCell ref="H82:I82"/>
    <mergeCell ref="F81:G81"/>
    <mergeCell ref="F82:G82"/>
    <mergeCell ref="L19:N19"/>
    <mergeCell ref="AY77:BA77"/>
    <mergeCell ref="AP74:AQ74"/>
    <mergeCell ref="AV77:AX77"/>
    <mergeCell ref="AP75:AQ75"/>
    <mergeCell ref="AX63:AY63"/>
    <mergeCell ref="H28:U38"/>
    <mergeCell ref="AY74:BF75"/>
    <mergeCell ref="AV76:AX76"/>
    <mergeCell ref="AY76:BA76"/>
    <mergeCell ref="A66:B66"/>
    <mergeCell ref="D63:E63"/>
    <mergeCell ref="B68:C68"/>
    <mergeCell ref="D68:F68"/>
    <mergeCell ref="BA42:BB42"/>
    <mergeCell ref="AX37:BA37"/>
    <mergeCell ref="V81:W81"/>
    <mergeCell ref="X81:AB82"/>
    <mergeCell ref="V82:W82"/>
    <mergeCell ref="AQ68:AS68"/>
    <mergeCell ref="BA43:BB43"/>
    <mergeCell ref="AQ45:AR45"/>
    <mergeCell ref="BA47:BD49"/>
    <mergeCell ref="AQ49:AR49"/>
    <mergeCell ref="BA44:BB44"/>
    <mergeCell ref="AQ46:AR46"/>
    <mergeCell ref="BA45:BB45"/>
    <mergeCell ref="AT49:AX49"/>
    <mergeCell ref="AQ47:AR47"/>
    <mergeCell ref="BA46:BB46"/>
    <mergeCell ref="O68:S68"/>
    <mergeCell ref="AV66:BD66"/>
    <mergeCell ref="AP62:AP63"/>
    <mergeCell ref="AQ67:AS67"/>
    <mergeCell ref="N63:O63"/>
    <mergeCell ref="AT68:AW68"/>
    <mergeCell ref="AQ65:AS65"/>
    <mergeCell ref="AR64:AS64"/>
    <mergeCell ref="AX62:AY62"/>
    <mergeCell ref="AQ50:AR50"/>
    <mergeCell ref="AV59:BA59"/>
    <mergeCell ref="AR72:BB72"/>
    <mergeCell ref="AV64:BD64"/>
    <mergeCell ref="AX61:AY61"/>
    <mergeCell ref="BC76:BF76"/>
    <mergeCell ref="AV74:AX75"/>
    <mergeCell ref="AO72:AQ72"/>
    <mergeCell ref="AP60:AP61"/>
    <mergeCell ref="AX60:AY60"/>
    <mergeCell ref="B97:T97"/>
    <mergeCell ref="AQ51:AR51"/>
    <mergeCell ref="AO57:AP57"/>
    <mergeCell ref="L61:M61"/>
    <mergeCell ref="L62:M62"/>
    <mergeCell ref="N62:O62"/>
    <mergeCell ref="AP69:AS69"/>
    <mergeCell ref="AR59:AS59"/>
    <mergeCell ref="AQ66:AS66"/>
    <mergeCell ref="T81:U81"/>
    <mergeCell ref="AY78:BA78"/>
    <mergeCell ref="BC79:BF79"/>
    <mergeCell ref="BC77:BF77"/>
    <mergeCell ref="AT45:AX47"/>
    <mergeCell ref="AV65:BD65"/>
    <mergeCell ref="AV60:AW60"/>
    <mergeCell ref="BE60:BF60"/>
    <mergeCell ref="AU55:AW55"/>
    <mergeCell ref="AY52:BA52"/>
    <mergeCell ref="BC59:BE59"/>
    <mergeCell ref="AX35:BB35"/>
    <mergeCell ref="BA32:BC32"/>
    <mergeCell ref="AR33:AW33"/>
    <mergeCell ref="AY24:BA24"/>
    <mergeCell ref="BA29:BC30"/>
    <mergeCell ref="AR30:AT30"/>
    <mergeCell ref="BA31:BC31"/>
    <mergeCell ref="BA33:BC33"/>
    <mergeCell ref="G99:K100"/>
    <mergeCell ref="BD100:BF100"/>
    <mergeCell ref="AY94:BF96"/>
    <mergeCell ref="B96:T96"/>
    <mergeCell ref="BD99:BF99"/>
    <mergeCell ref="AO100:AT100"/>
    <mergeCell ref="AZ98:BC98"/>
    <mergeCell ref="AZ99:BC99"/>
    <mergeCell ref="AZ100:BC100"/>
    <mergeCell ref="BD98:BF98"/>
  </mergeCells>
  <conditionalFormatting sqref="AQ64:AR64">
    <cfRule type="cellIs" priority="1" dxfId="11" operator="between" stopIfTrue="1">
      <formula>25</formula>
      <formula>30</formula>
    </cfRule>
    <cfRule type="cellIs" priority="2" dxfId="4" operator="between" stopIfTrue="1">
      <formula>20</formula>
      <formula>25</formula>
    </cfRule>
    <cfRule type="cellIs" priority="3" dxfId="2" operator="greaterThan" stopIfTrue="1">
      <formula>30</formula>
    </cfRule>
  </conditionalFormatting>
  <conditionalFormatting sqref="C16:D16">
    <cfRule type="cellIs" priority="7" dxfId="3" operator="notBetween" stopIfTrue="1">
      <formula>75.5</formula>
      <formula>76.5</formula>
    </cfRule>
  </conditionalFormatting>
  <hyperlinks>
    <hyperlink ref="I55" r:id="rId1" display="www.petespintpot.co.uk/index.html#PIGGY-BACK "/>
    <hyperlink ref="R53:AA53" location="'Beer Kit Calc''s Etc'!AO101" display="Read the &quot;Disclaimer&quot; at the bottom of this page."/>
    <hyperlink ref="H13" r:id="rId2" display="www.petespintpot.co.uk/kitmod.html "/>
    <hyperlink ref="E16" location="'Beer Calc'!AS4" display="(76% nom.)"/>
    <hyperlink ref="Y2" r:id="rId3" display="www.petespintpot.co.uk"/>
    <hyperlink ref="BC98" r:id="rId4" display="www.yobrew.co.uk"/>
    <hyperlink ref="BC97" r:id="rId5" display="www.yobrew.co.uk"/>
    <hyperlink ref="AE77:AG77" location="'Extract Calc'!P218" display="Technical Section, cells N215 to P218"/>
    <hyperlink ref="AE77" r:id="rId6" display="www.yobrew.co.uk"/>
    <hyperlink ref="AE76" r:id="rId7" display="david.barrow@live.co.uk"/>
    <hyperlink ref="AF75" r:id="rId8" display="www.petespintpot.co.uk"/>
    <hyperlink ref="AE75" r:id="rId9" display="www.petespintpot.co.uk"/>
    <hyperlink ref="Y1" r:id="rId10" display="www.petespintpot.co.uk"/>
    <hyperlink ref="H12" r:id="rId11" display="www.petespintpot.co.uk/kitmod.html "/>
    <hyperlink ref="E17" location="'Beer Data Sheet'!AP2" display="(76% nominally)"/>
    <hyperlink ref="F17" location="'Beer Data Sheet'!AP2" display="(76% nominally)"/>
    <hyperlink ref="G17" location="'Beer Data Sheet'!AP2" display="(76% nominally)"/>
    <hyperlink ref="F30" r:id="rId12" display="www.petespintpot.co.uk/health.html "/>
    <hyperlink ref="M30" r:id="rId13" display="www.petespintpot.co.uk/diabetic.html "/>
    <hyperlink ref="H41" location="'Primer'!D1" display="Priming Chart For Beers"/>
    <hyperlink ref="I59" r:id="rId14" display="www.petespintpot.co.uk/index.html#PIGGY-BACK "/>
    <hyperlink ref="AK76:AM76" location="'Extract Calc'!P218" display="Technical Section, cells N215 to P218"/>
    <hyperlink ref="AK76" r:id="rId15" display="www.yobrew.co.uk"/>
    <hyperlink ref="AK75" r:id="rId16" display="david.barrow@live.co.uk"/>
    <hyperlink ref="AL74" r:id="rId17" display="www.petespintpot.co.uk"/>
    <hyperlink ref="AK74" r:id="rId18" display="www.petespintpot.co.uk"/>
    <hyperlink ref="B22" location="'Beer Kit Calc''s Etc'!H23" display="Hop extract added (ml)"/>
    <hyperlink ref="W54:X54" location="'Beer Calc'!A141" display="Default settings"/>
    <hyperlink ref="AH51" location="'Beer Calc'!A141" display="Default settings"/>
    <hyperlink ref="AI51" location="'Beer Calc'!A141" display="Default settings"/>
    <hyperlink ref="AH84" location="'Extract Calc'!P218" display="Technical Section, cells N215 to P218"/>
    <hyperlink ref="AI84" location="'Extract Calc'!P218" display="Technical Section, cells N215 to P218"/>
    <hyperlink ref="AJ84" location="'Extract Calc'!P218" display="Technical Section, cells N215 to P218"/>
    <hyperlink ref="X103" r:id="rId19" display="david.barrow@live.co.uk"/>
    <hyperlink ref="X102" r:id="rId20" display="www.petespintpot.co.uk"/>
    <hyperlink ref="W102" r:id="rId21" display="www.yobrew.co.uk"/>
    <hyperlink ref="W101" r:id="rId22" display="david.barrow@live.co.uk"/>
    <hyperlink ref="S101" r:id="rId23" display="www.yobrew.co.uk"/>
    <hyperlink ref="AC2" r:id="rId24" display="www.petespintpot.co.uk"/>
    <hyperlink ref="A10" location="'Beer Kit Calc's Etc'!Z13" display="'Beer Kit Calc's Etc'!Z13"/>
    <hyperlink ref="E26" r:id="rId25" display="www.petespintpot.co.uk/health.html "/>
    <hyperlink ref="L26" r:id="rId26" display="www.petespintpot.co.uk/diabetic.html "/>
    <hyperlink ref="G37" location="'Primer'!D1" display="Priming Chart For Beers"/>
    <hyperlink ref="Q54" location="'Beer Kit Calc's Etc'!AL100" display="Read the &quot;Disclaimer&quot; at the bottom of this page."/>
    <hyperlink ref="R54" location="'Beer Kit Calc's Etc'!AL100" display="Read the &quot;Disclaimer&quot; at the bottom of this page."/>
    <hyperlink ref="S54" location="'Beer Kit Calc's Etc'!AL100" display="Read the &quot;Disclaimer&quot; at the bottom of this page."/>
    <hyperlink ref="T54" location="'Beer Kit Calc's Etc'!AL100" display="Read the &quot;Disclaimer&quot; at the bottom of this page."/>
    <hyperlink ref="U54" location="'Beer Kit Calc's Etc'!AL100" display="Read the &quot;Disclaimer&quot; at the bottom of this page."/>
    <hyperlink ref="V54" location="'Beer Kit Calc's Etc'!AL100" display="Read the &quot;Disclaimer&quot; at the bottom of this page."/>
    <hyperlink ref="W54" location="'Beer Kit Calc's Etc'!AL100" display="Read the &quot;Disclaimer&quot; at the bottom of this page."/>
    <hyperlink ref="X54" location="'Beer Kit Calc's Etc'!AL100" display="Read the &quot;Disclaimer&quot; at the bottom of this page."/>
    <hyperlink ref="H55" r:id="rId27" display="www.petespintpot.co.uk/index.html#PIGGY-BACK "/>
    <hyperlink ref="T86" location="'BJCP'!C1" display="BJCP Guide"/>
    <hyperlink ref="U86" location="'BJCP'!C1" display="BJCP Guide"/>
    <hyperlink ref="V86" location="'BJCP'!C1" display="BJCP Guide"/>
    <hyperlink ref="W86" location="'BJCP'!C1" display="BJCP Guide"/>
    <hyperlink ref="X86" location="'BJCP'!C1" display="BJCP Guide"/>
    <hyperlink ref="Y86" location="'BJCP'!C1" display="BJCP Guide"/>
    <hyperlink ref="T87" location="'BJCP'!C1" display="BJCP Guide"/>
    <hyperlink ref="T88" location="'BJCP'!C1" display="BJCP Guide"/>
    <hyperlink ref="AJ72:AL72" location="'Extract Calc'!P218" display="Technical Section, cells N215 to P218"/>
    <hyperlink ref="AJ72" r:id="rId28" display="www.yobrew.co.uk"/>
    <hyperlink ref="AJ71" r:id="rId29" display="david.barrow@live.co.uk"/>
    <hyperlink ref="AK70" r:id="rId30" display="www.petespintpot.co.uk"/>
    <hyperlink ref="AJ70" r:id="rId31" display="www.petespintpot.co.uk"/>
    <hyperlink ref="A18" location="'Beer Kit Calc''s Etc'!H23" display="Hop extract added (ml)"/>
    <hyperlink ref="V50:W50" location="'Beer Calc'!A141" display="Default settings"/>
    <hyperlink ref="AJ72:AO72" location="'Extract Calc'!P218" display="Technical Section, cells N215 to P218"/>
    <hyperlink ref="AG47" location="'Beer Calc'!A141" display="Default settings"/>
    <hyperlink ref="AH47" location="'Beer Calc'!A141" display="Default settings"/>
    <hyperlink ref="AG80" location="'Extract Calc'!P218" display="Technical Section, cells N215 to P218"/>
    <hyperlink ref="AH80" location="'Extract Calc'!P218" display="Technical Section, cells N215 to P218"/>
    <hyperlink ref="AI80" location="'Extract Calc'!P218" display="Technical Section, cells N215 to P218"/>
    <hyperlink ref="Q95" r:id="rId32" display="david.barrow@live.co.uk"/>
    <hyperlink ref="U87:Z89" location="BJCP!D1" display="For information about beer styles/colour/hopping rates etc. see &quot;BJCP Beer Styles&quot;."/>
    <hyperlink ref="E16:F16" location="'Beer Calc'!AP4" display="(76% nom.)"/>
    <hyperlink ref="R96" r:id="rId33" display="david.barrow@live.co.uk"/>
    <hyperlink ref="R97" r:id="rId34" display="www.yobrew.co.uk"/>
    <hyperlink ref="T101:Z101" location="'Extract Calc'!P218" display="Technical Section, cells N215 to P218"/>
    <hyperlink ref="Q54:R54" location="'Beer Calc'!A141" display="Default settings"/>
    <hyperlink ref="V102:AA102" location="'Extract Calc'!P218" display="Technical Section, cells N215 to P218"/>
    <hyperlink ref="AE76:AK76" location="'Extract Calc'!P218" display="Technical Section, cells N215 to P218"/>
    <hyperlink ref="AB51" location="'Beer Calc'!A141" display="Default settings"/>
    <hyperlink ref="AC51" location="'Beer Calc'!A141" display="Default settings"/>
    <hyperlink ref="AB84" location="'Extract Calc'!P218" display="Technical Section, cells N215 to P218"/>
    <hyperlink ref="AC84" location="'Extract Calc'!P218" display="Technical Section, cells N215 to P218"/>
    <hyperlink ref="AD84" location="'Extract Calc'!P218" display="Technical Section, cells N215 to P218"/>
    <hyperlink ref="Z101" location="'Extract Calc'!P218" display="Technical Section, cells N215 to P218"/>
    <hyperlink ref="Z102" location="'Extract Calc'!P218" display="Technical Section, cells N215 to P218"/>
    <hyperlink ref="AG74" r:id="rId35" display="www.petespintpot.co.uk"/>
    <hyperlink ref="AF74" r:id="rId36" display="www.petespintpot.co.uk"/>
    <hyperlink ref="AE74" r:id="rId37" display="www.petespintpot.co.uk"/>
    <hyperlink ref="R105" r:id="rId38" display="david.barrow@live.co.uk"/>
    <hyperlink ref="R103" r:id="rId39" display="www.petespintpot.co.uk"/>
    <hyperlink ref="Q103" r:id="rId40" display="david.barrow@live.co.uk"/>
    <hyperlink ref="Y102" location="'Extract Calc'!P218" display="Technical Section, cells N215 to P218"/>
    <hyperlink ref="Q102" r:id="rId41" display="www.petespintpot.co.uk"/>
    <hyperlink ref="M102" r:id="rId42" display="david.barrow@live.co.uk"/>
    <hyperlink ref="Y101" location="'Extract Calc'!P218" display="Technical Section, cells N215 to P218"/>
    <hyperlink ref="Q101" r:id="rId43" display="www.petespintpot.co.uk"/>
    <hyperlink ref="M101" r:id="rId44" display="www.petespintpot.co.uk"/>
    <hyperlink ref="W2" r:id="rId45" display="www.petespintpot.co.uk"/>
    <hyperlink ref="E121:IV121" location="'Extract Calc'!P218" display="Technical Section, cells N215 to P218"/>
    <hyperlink ref="F121:IV121" location="'Extract Calc'!P218" display="Technical Section, cells N215 to P218"/>
    <hyperlink ref="E119:IV119" location="'Extract Calc'!P218" display="Technical Section, cells N215 to P218"/>
    <hyperlink ref="F119:IV119" location="'Extract Calc'!P218" display="Technical Section, cells N215 to P218"/>
    <hyperlink ref="G119:IV119" location="'Extract Calc'!P218" display="Technical Section, cells N215 to P218"/>
    <hyperlink ref="G121:IV121" location="'Extract Calc'!P218" display="Technical Section, cells N215 to P218"/>
    <hyperlink ref="N77" location="'Beer Kit Calc''s Etc'!W31" display="See cell W30"/>
    <hyperlink ref="E127:IV127" location="'Extract Calc'!P218" display="Technical Section, cells N215 to P218"/>
    <hyperlink ref="A125:IV125" location="'Extract Calc'!P218" display="Technical Section, cells N215 to P218"/>
    <hyperlink ref="A127:IV127" location="'Extract Calc'!P218" display="Technical Section, cells N215 to P218"/>
    <hyperlink ref="B127:IV127" location="'Extract Calc'!P218" display="Technical Section, cells N215 to P218"/>
    <hyperlink ref="C127:IV127" location="'Extract Calc'!P218" display="Technical Section, cells N215 to P218"/>
    <hyperlink ref="D127:IV127" location="'Extract Calc'!P218" display="Technical Section, cells N215 to P218"/>
    <hyperlink ref="AB75:AD75" location="'Extract Calc'!O213" display="Technical Section, cells N210 to O213"/>
    <hyperlink ref="AB75:AE75" location="'Extract Calc'!N64" display="See cells N64 etc."/>
    <hyperlink ref="AB75" location="'Extract Calc'!K62" display="See cells K62 etc."/>
    <hyperlink ref="AB75:AC75" location="'Extract Calc'!N64" display="See cells N64 etc."/>
    <hyperlink ref="AB73" location="'Extract Calc'!O213" display="Technical Section, cells N210 to O213"/>
    <hyperlink ref="AB75:AF75" location="'Extract Calc'!O213" display="Technical Section, cells N210 to O213"/>
    <hyperlink ref="AA79" location="'Extract Calc'!K62" display="See cells K62 etc."/>
    <hyperlink ref="AB53:AD53" location="'Extract Calc'!N64" display="See cells N64 etc."/>
    <hyperlink ref="AB53:AE53" location="'Extract Calc'!O213" display="Technical Section, cells N210 to O213"/>
    <hyperlink ref="AB53" location="'Extract Calc'!N64" display="See cells N64 etc."/>
    <hyperlink ref="AB53:AC53" location="'Extract Calc'!O213" display="Technical Section, cells N210 to O213"/>
    <hyperlink ref="B119:IV119" location="'Extract Calc'!P218" display="Technical Section, cells N215 to P218"/>
    <hyperlink ref="C119:IV119" location="'Extract Calc'!P218" display="Technical Section, cells N215 to P218"/>
    <hyperlink ref="D119:IV119" location="'Extract Calc'!P218" display="Technical Section, cells N215 to P218"/>
    <hyperlink ref="T102:Z102" location="'Extract Calc'!P218" display="Technical Section, cells N215 to P218"/>
    <hyperlink ref="Q55:R55" location="'Beer Calc'!A141" display="Default settings"/>
    <hyperlink ref="V103:AA103" location="'Extract Calc'!P218" display="Technical Section, cells N215 to P218"/>
    <hyperlink ref="AE77:AK77" location="'Extract Calc'!P218" display="Technical Section, cells N215 to P218"/>
    <hyperlink ref="AB52" location="'Beer Calc'!A141" display="Default settings"/>
    <hyperlink ref="AC52" location="'Beer Calc'!A141" display="Default settings"/>
    <hyperlink ref="AB85" location="'Extract Calc'!P218" display="Technical Section, cells N215 to P218"/>
    <hyperlink ref="AC85" location="'Extract Calc'!P218" display="Technical Section, cells N215 to P218"/>
    <hyperlink ref="AD85" location="'Extract Calc'!P218" display="Technical Section, cells N215 to P218"/>
    <hyperlink ref="Z103" location="'Extract Calc'!P218" display="Technical Section, cells N215 to P218"/>
    <hyperlink ref="Z105" location="'Extract Calc'!P218" display="Technical Section, cells N215 to P218"/>
    <hyperlink ref="AA105" location="'Extract Calc'!P218" display="Technical Section, cells N215 to P218"/>
    <hyperlink ref="AB105" location="'Extract Calc'!P218" display="Technical Section, cells N215 to P218"/>
    <hyperlink ref="AC105" location="'Extract Calc'!P218" display="Technical Section, cells N215 to P218"/>
    <hyperlink ref="AD105" location="'Extract Calc'!P218" display="Technical Section, cells N215 to P218"/>
    <hyperlink ref="AG75" r:id="rId46" display="www.petespintpot.co.uk"/>
    <hyperlink ref="R106" r:id="rId47" display="www.yobrew.co.uk"/>
    <hyperlink ref="Y105" location="'Extract Calc'!P218" display="Technical Section, cells N215 to P218"/>
    <hyperlink ref="Y103" location="'Extract Calc'!P218" display="Technical Section, cells N215 to P218"/>
    <hyperlink ref="M103" r:id="rId48" display="www.yobrew.co.uk"/>
    <hyperlink ref="L101" r:id="rId49" display="www.yobrew.co.uk"/>
    <hyperlink ref="W3" r:id="rId50" display="www.petespintpot.co.uk"/>
    <hyperlink ref="E122:IV122" location="'Extract Calc'!P218" display="Technical Section, cells N215 to P218"/>
    <hyperlink ref="F122:IV122" location="'Extract Calc'!P218" display="Technical Section, cells N215 to P218"/>
    <hyperlink ref="E120:IV120" location="'Extract Calc'!P218" display="Technical Section, cells N215 to P218"/>
    <hyperlink ref="F120:IV120" location="'Extract Calc'!P218" display="Technical Section, cells N215 to P218"/>
    <hyperlink ref="G120:IV120" location="'Extract Calc'!P218" display="Technical Section, cells N215 to P218"/>
    <hyperlink ref="G122:IV122" location="'Extract Calc'!P218" display="Technical Section, cells N215 to P218"/>
    <hyperlink ref="N78" location="'Beer Kit Calc''s Etc'!W31" display="See cell W30"/>
    <hyperlink ref="E128:IV128" location="'Extract Calc'!P218" display="Technical Section, cells N215 to P218"/>
    <hyperlink ref="A126:IV126" location="'Extract Calc'!P218" display="Technical Section, cells N215 to P218"/>
    <hyperlink ref="A128:IV128" location="'Extract Calc'!P218" display="Technical Section, cells N215 to P218"/>
    <hyperlink ref="B128:IV128" location="'Extract Calc'!P218" display="Technical Section, cells N215 to P218"/>
    <hyperlink ref="C128:IV128" location="'Extract Calc'!P218" display="Technical Section, cells N215 to P218"/>
    <hyperlink ref="D128:IV128" location="'Extract Calc'!P218" display="Technical Section, cells N215 to P218"/>
    <hyperlink ref="AB76:AD76" location="'Extract Calc'!O213" display="Technical Section, cells N210 to O213"/>
    <hyperlink ref="AB76:AE76" location="'Extract Calc'!N64" display="See cells N64 etc."/>
    <hyperlink ref="AB76" location="'Extract Calc'!K62" display="See cells K62 etc."/>
    <hyperlink ref="AB76:AC76" location="'Extract Calc'!N64" display="See cells N64 etc."/>
    <hyperlink ref="AB74" location="'Extract Calc'!O213" display="Technical Section, cells N210 to O213"/>
    <hyperlink ref="AB76:AF76" location="'Extract Calc'!O213" display="Technical Section, cells N210 to O213"/>
    <hyperlink ref="AA80" location="'Extract Calc'!K62" display="See cells K62 etc."/>
    <hyperlink ref="AB54:AD54" location="'Extract Calc'!N64" display="See cells N64 etc."/>
    <hyperlink ref="AB54:AE54" location="'Extract Calc'!O213" display="Technical Section, cells N210 to O213"/>
    <hyperlink ref="AB54" location="'Extract Calc'!N64" display="See cells N64 etc."/>
    <hyperlink ref="AB54:AC54" location="'Extract Calc'!O213" display="Technical Section, cells N210 to O213"/>
    <hyperlink ref="B120:IV120" location="'Extract Calc'!P218" display="Technical Section, cells N215 to P218"/>
    <hyperlink ref="C120:IV120" location="'Extract Calc'!P218" display="Technical Section, cells N215 to P218"/>
    <hyperlink ref="D120:IV120" location="'Extract Calc'!P218" display="Technical Section, cells N215 to P218"/>
    <hyperlink ref="AE105" location="'Extract Calc'!P218" display="Technical Section, cells N215 to P218"/>
    <hyperlink ref="P98:P99" r:id="rId51" display="www.yobrew.co.uk"/>
    <hyperlink ref="BD99" r:id="rId52" display="david.barrow@live.co.uk"/>
    <hyperlink ref="BD98" r:id="rId53" display="www.petespintpot.co.uk"/>
    <hyperlink ref="BD100" r:id="rId54" display="www.yobrew.co.uk"/>
    <hyperlink ref="BC4" r:id="rId55" display="www.PetesPintPot.co.uk"/>
    <hyperlink ref="AR18" location="'Wine Calc'!D7" display="'Wine Calc'!D7"/>
    <hyperlink ref="AS18" location="'Wine &amp; Cider Calc'!D7" display="'Wine &amp; Cider Calc'!D7"/>
    <hyperlink ref="BA31" location="'General Calc's'!C24" display="See Temperature Converter"/>
    <hyperlink ref="BB31" location="'General Calc's'!C24" display="See Temperature Converter"/>
    <hyperlink ref="BC31" location="'General Calc's'!C24" display="See Temperature Converter"/>
    <hyperlink ref="BC41" location="'Wine Calc'!J40" display="Ensure cell J90 is clear!"/>
    <hyperlink ref="AV49" location="'General Calc's'!G48" display="OR "/>
    <hyperlink ref="AW50" location="'General Calc's'!C24" display="See Temperature Converter"/>
    <hyperlink ref="AX50" location="'General Calc's'!C24" display="See Temperature Converter"/>
    <hyperlink ref="AP51" location="'General Calc's'!G51" display="using the simpler &quot;brewers degrees&quot;"/>
    <hyperlink ref="AV52" location="'General Calc's'!G48" display="OR "/>
    <hyperlink ref="AS52" r:id="rId56" display="www.petespintpot.co.uk/health.html "/>
    <hyperlink ref="AT64" location="'Primer'!D1" display="Priming Calc's. For Beers Etc."/>
    <hyperlink ref="AT70" location="'Beer Kit Calc's'!Y5" display="'Beer Kit Calc's'!Y5"/>
    <hyperlink ref="AU70" location="'Beer Kit Calc's'!Y5" display="'Beer Kit Calc's'!Y5"/>
    <hyperlink ref="BA58" location="'Beer Kit Calc''s'!A90" display="EBC (Colour, if known)"/>
    <hyperlink ref="BF79" location="Primer!D1" display="For more information see the &quot;Primer&quot; page."/>
    <hyperlink ref="AY75" r:id="rId57" display="www.petespintpot.co.uk/diabetic.html "/>
    <hyperlink ref="AT65" location="'Primer'!D1" display="Priming Calc's. For Beers Etc."/>
    <hyperlink ref="AZ54" r:id="rId58" display="www.petespintpot.co.uk/diabetic.html "/>
    <hyperlink ref="AP38" location="'General Calc''s'!C24" display="See Temperature Converter"/>
    <hyperlink ref="AX82" location="'General Calc''s'!N98" display="Priming sugar added"/>
    <hyperlink ref="BA31:BC31" location="'General Calc''s'!E24" display="See Temperature Converter"/>
    <hyperlink ref="AS85" location="Primer!D1" display="For more information see the &quot;Primer&quot; page."/>
    <hyperlink ref="AQ32" location="'Wine &amp; Cider Calc'!D7" display="'Wine &amp; Cider Calc'!D7"/>
    <hyperlink ref="AP32" location="'Wine Calc'!D7" display="'Wine Calc'!D7"/>
    <hyperlink ref="BB16" r:id="rId59" display="www.PetesPintPot.co.uk"/>
    <hyperlink ref="AV91" location="'Wine Calc'!J40" display="Ensure cell J90 is clear!"/>
    <hyperlink ref="AP17" r:id="rId60" display="www.petespintpot.co.uk/kitmod.html "/>
    <hyperlink ref="AZ103" r:id="rId61" display="www.signaturewinesofohio.com"/>
    <hyperlink ref="AU53" location="'Gluten-Free Calc'!J100" display="See cells J100 etc. for the Isomerised hop extract settings."/>
    <hyperlink ref="AW10" r:id="rId62" display="www.PetesPintPot.co.uk"/>
    <hyperlink ref="AW11" r:id="rId63" display="www.PetesPintPot.co.uk"/>
    <hyperlink ref="AW12" r:id="rId64" display="david.barrow@live.co.uk"/>
    <hyperlink ref="AS95" location="'BJCP'!F1" display="BJCP Guide"/>
    <hyperlink ref="AU95" location="'BJCP'!F1" display="BJCP Guide"/>
    <hyperlink ref="AV95" location="'BJCP'!F1" display="BJCP Guide"/>
    <hyperlink ref="AS96" location="'BJCP'!F1" display="BJCP Guide"/>
    <hyperlink ref="AR10" r:id="rId65" display="www.PetesPintPot.co.uk"/>
    <hyperlink ref="AR11" r:id="rId66" display="david.barrow@live.co.uk"/>
    <hyperlink ref="AR12" r:id="rId67" display="david.barrow@live.co.uk"/>
    <hyperlink ref="AM53" location="'Gluten-Free Calc'!J100" display="See cells J100 etc. for the Isomerised hop extract settings."/>
    <hyperlink ref="AR80" r:id="rId68" display="www.colchesterhomebrew.co.uk"/>
    <hyperlink ref="AR82" r:id="rId69" display="www.yobrew.co.uk"/>
    <hyperlink ref="AR91" r:id="rId70" display="www.yobrew.co.uk"/>
    <hyperlink ref="AR93" location="'BJCP'!F1" display="BJCP Guide"/>
    <hyperlink ref="AR94" r:id="rId71" display="www.yobrew.co.uk"/>
    <hyperlink ref="BC1" r:id="rId72" display="www.PetesPintPot.co.uk"/>
    <hyperlink ref="AR15" location="'Wine Calc'!D7" display="'Wine Calc'!D7"/>
    <hyperlink ref="AS15" location="'Wine &amp; Cider Calc'!D7" display="'Wine &amp; Cider Calc'!D7"/>
    <hyperlink ref="AR16" location="'Wine Calc'!D7" display="'Wine Calc'!D7"/>
    <hyperlink ref="AS16" location="'Wine &amp; Cider Calc'!D7" display="'Wine &amp; Cider Calc'!D7"/>
    <hyperlink ref="BC38" location="'Wine Calc'!J40" display="Ensure cell J90 is clear!"/>
    <hyperlink ref="AU41" location="'General Calc''s'!G51" display="OR "/>
    <hyperlink ref="AX41" location="'General Calc's'!G51" display="using the simpler &quot;brewers degrees&quot;"/>
    <hyperlink ref="AV46" location="'General Calc's'!C24" display="See Temperature Converter"/>
    <hyperlink ref="AW47" location="'General Calc's'!C24" display="See Temperature Converter"/>
    <hyperlink ref="AX47" location="'General Calc's'!C24" display="See Temperature Converter"/>
    <hyperlink ref="AP48" location="'General Calc's'!G51" display="using the simpler &quot;brewers degrees&quot;"/>
    <hyperlink ref="AU74" location="'Beer Kit Calc's'!B69" display="EBC (Colour, if known)"/>
    <hyperlink ref="AQ75" r:id="rId73" display="www.petespintpot.co.uk/diabetic.html "/>
    <hyperlink ref="AS49" r:id="rId74" display="www.petespintpot.co.uk/health.html "/>
    <hyperlink ref="AT61" location="'Primer'!D1" display="Priming Calc's. For Beers Etc."/>
    <hyperlink ref="AT67" location="'Beer Kit Calc's'!Y5" display="'Beer Kit Calc's'!Y5"/>
    <hyperlink ref="AU67" location="'Beer Kit Calc's'!Y5" display="'Beer Kit Calc's'!Y5"/>
    <hyperlink ref="BA55" location="'Beer Kit Calc''s'!A90" display="EBC (Colour, if known)"/>
    <hyperlink ref="BF76" location="Primer!D1" display="For more information see the &quot;Primer&quot; page."/>
    <hyperlink ref="AR71" r:id="rId75" display="www.petespintpot.co.uk/health.html "/>
    <hyperlink ref="AY72" r:id="rId76" display="www.petespintpot.co.uk/diabetic.html "/>
    <hyperlink ref="AZ52" r:id="rId77" display="www.petespintpot.co.uk/diabetic.html "/>
    <hyperlink ref="AT62" location="'Primer'!D1" display="Priming Calc's. For Beers Etc."/>
    <hyperlink ref="AZ51" r:id="rId78" display="www.petespintpot.co.uk/diabetic.html "/>
    <hyperlink ref="AP35" location="'General Calc''s'!C24" display="See Temperature Converter"/>
    <hyperlink ref="AX79" location="'General Calc''s'!N98" display="Priming sugar added"/>
    <hyperlink ref="AS82" location="Primer!D1" display="For more information see the &quot;Primer&quot; page."/>
    <hyperlink ref="AQ29" location="'Wine &amp; Cider Calc'!D7" display="'Wine &amp; Cider Calc'!D7"/>
    <hyperlink ref="AP29" location="'Wine Calc'!D7" display="'Wine Calc'!D7"/>
    <hyperlink ref="AZ102" location="'Wine Calc'!AA5" display="'Wine Calc'!AA5"/>
    <hyperlink ref="BB102" location="'Wine Calc'!AA91" display="TINS"/>
    <hyperlink ref="BA101" location="'Wine Calc'!J40" display="Ensure cell J90 is clear!"/>
    <hyperlink ref="BA102" location="'Wine Calc'!J40" display="Ensure cell J90 is clear!"/>
    <hyperlink ref="BA103" location="'Wine Calc'!J41" display="Ensure cell J41 is clear!"/>
    <hyperlink ref="BA13" r:id="rId79" display="www.PetesPintPot.co.uk"/>
    <hyperlink ref="BB13" r:id="rId80" display="www.PetesPintPot.co.uk"/>
    <hyperlink ref="BA14" r:id="rId81" display="www.PetesPintPot.co.uk"/>
    <hyperlink ref="AV89" location="'Wine Calc'!J40" display="Ensure cell J90 is clear!"/>
    <hyperlink ref="AP15" location="'Wine Calc'!G68" display="Priming Ciders &amp; Sparkling Wines"/>
    <hyperlink ref="AZ101" location="'Wine Calc'!G68" display="Priming Ciders &amp; Sparkling Wines"/>
    <hyperlink ref="BB101" location="'Wine Calc'!AA91" display="TINS"/>
    <hyperlink ref="AV88" location="'Wine Calc'!J40" display="Ensure cell J90 is clear!"/>
    <hyperlink ref="AP14" location="'Wine Calc'!G68" display="Priming Ciders &amp; Sparkling Wines"/>
    <hyperlink ref="AU50" location="'Wine Calc'!J40" display="Ensure cell J90 is clear!"/>
    <hyperlink ref="AW7" r:id="rId82" display="www.PetesPintPot.co.uk"/>
    <hyperlink ref="AW8" r:id="rId83" display="www.PetesPintPot.co.uk"/>
    <hyperlink ref="AW9" r:id="rId84" display="david.barrow@live.co.uk"/>
    <hyperlink ref="AS93" location="'BJCP'!F1" display="BJCP Guide"/>
    <hyperlink ref="AT93" location="'BJCP'!F1" display="BJCP Guide"/>
    <hyperlink ref="AU93" location="'BJCP'!F1" display="BJCP Guide"/>
    <hyperlink ref="AV93" location="'BJCP'!F1" display="BJCP Guide"/>
    <hyperlink ref="AW102" r:id="rId85" display="www.PetesPintPot.co.uk"/>
    <hyperlink ref="AW103" r:id="rId86" display="www.PetesPintPot.co.uk"/>
    <hyperlink ref="AS9" r:id="rId87" display="david.barrow@live.co.uk"/>
    <hyperlink ref="AR7" r:id="rId88" display="www.PetesPintPot.co.uk"/>
    <hyperlink ref="AR8" r:id="rId89" display="david.barrow@live.co.uk"/>
    <hyperlink ref="AR9" r:id="rId90" display="david.barrow@live.co.uk"/>
    <hyperlink ref="AM50" location="'Gluten-Free Calc'!J100" display="See cells J100 etc. for the Isomerised hop extract settings."/>
    <hyperlink ref="AR90" r:id="rId91" display="www.yobrew.co.uk"/>
    <hyperlink ref="AW31" location="'General Calc's'!C24" display="See Temperature Converter"/>
    <hyperlink ref="AR49" location="'General Calc's'!C24" display="See Temperature Converter"/>
    <hyperlink ref="AV55" r:id="rId92" display="www.petespintpot.co.uk/diabetic.html "/>
    <hyperlink ref="AR96" location="'BJCP'!F1" display="BJCP Guide"/>
    <hyperlink ref="AR95" location="'BJCP'!F1" display="BJCP Guide"/>
    <hyperlink ref="AS12" r:id="rId93" display="david.barrow@live.co.uk"/>
    <hyperlink ref="AV103" location="'Wine Calc'!J40" display="Ensure cell J90 is clear!"/>
    <hyperlink ref="AS50" location="'Beer Kit Calc''s Etc'!W31" display="See cell W30"/>
    <hyperlink ref="AY56:BA56" location="'Extract Calc'!K62" display="See cells K62 etc."/>
    <hyperlink ref="BC44" location="'General Calc''s'!G51" display="OR "/>
    <hyperlink ref="BF44" location="'General Calc's'!G51" display="using the simpler &quot;brewers degrees&quot;"/>
    <hyperlink ref="BD49" location="'General Calc's'!C24" display="See Temperature Converter"/>
    <hyperlink ref="BF50" location="'General Calc's'!C24" display="See Temperature Converter"/>
    <hyperlink ref="AX51" location="'General Calc's'!G51" display="using the simpler &quot;brewers degrees&quot;"/>
    <hyperlink ref="BC77" location="'Beer Kit Calc's'!B69" display="EBC (Colour, if known)"/>
    <hyperlink ref="AY78" r:id="rId94" display="www.petespintpot.co.uk/diabetic.html "/>
    <hyperlink ref="AW45" location="'Beer Kit Calc's'!K23" display="Hop extract added (ml)"/>
    <hyperlink ref="BA52" r:id="rId95" display="www.petespintpot.co.uk/health.html "/>
    <hyperlink ref="BB64" location="'Primer'!D1" display="Priming Calc's. For Beers Etc."/>
    <hyperlink ref="BB70" location="'Beer Kit Calc's'!Y5" display="'Beer Kit Calc's'!Y5"/>
    <hyperlink ref="BC70" location="'Beer Kit Calc's'!Y5" display="'Beer Kit Calc's'!Y5"/>
    <hyperlink ref="AZ74" r:id="rId96" display="www.petespintpot.co.uk/health.html "/>
    <hyperlink ref="BB65" location="'Primer'!D1" display="Priming Calc's. For Beers Etc."/>
    <hyperlink ref="AX38" location="'General Calc''s'!C24" display="See Temperature Converter"/>
    <hyperlink ref="BF82" location="'General Calc''s'!N98" display="Priming sugar added"/>
    <hyperlink ref="BA85" location="Primer!D1" display="For more information see the &quot;Primer&quot; page."/>
    <hyperlink ref="AV26" location="'Wine Calc'!B139" display="This assumes that the any vegetables (cells C132:C138) are catered for as per cell B139. Use the above figures as a VERY APPROX. GUIDE only."/>
    <hyperlink ref="AW21" location="'Wine Calc'!AA7" display="'Wine Calc'!AA7"/>
    <hyperlink ref="AX18" location="'Wine Calc'!G68" display="Priming Ciders &amp; Sparkling Wines"/>
    <hyperlink ref="BD91" location="'Wine Calc'!J40" display="Ensure cell J90 is clear!"/>
    <hyperlink ref="AX21" r:id="rId97" display="www.petespintpot.co.uk/kitmod.html "/>
    <hyperlink ref="AZ95" location="'BJCP'!F1" display="BJCP Guide"/>
    <hyperlink ref="BA95" location="'BJCP'!F1" display="BJCP Guide"/>
    <hyperlink ref="BB95" location="'BJCP'!F1" display="BJCP Guide"/>
    <hyperlink ref="BC95" location="'BJCP'!F1" display="BJCP Guide"/>
    <hyperlink ref="BD95" location="'BJCP'!F1" display="BJCP Guide"/>
    <hyperlink ref="AZ96" location="'BJCP'!F1" display="BJCP Guide"/>
    <hyperlink ref="BA96" location="'BJCP'!F1" display="BJCP Guide"/>
    <hyperlink ref="BB96" location="'BJCP'!F1" display="BJCP Guide"/>
    <hyperlink ref="BC96" location="'BJCP'!F1" display="BJCP Guide"/>
    <hyperlink ref="BD96" location="'BJCP'!F1" display="BJCP Guide"/>
    <hyperlink ref="BA12" r:id="rId98" display="david.barrow@live.co.uk"/>
    <hyperlink ref="AW53" location="'Gluten-Free Calc'!J100" display="See cells J100 etc. for the Isomerised hop extract settings."/>
    <hyperlink ref="AZ10" r:id="rId99" display="www.PetesPintPot.co.uk"/>
    <hyperlink ref="AZ11" r:id="rId100" display="david.barrow@live.co.uk"/>
    <hyperlink ref="AZ12" r:id="rId101" display="david.barrow@live.co.uk"/>
    <hyperlink ref="AV53" location="'Gluten-Free Calc'!J100" display="See cells J100 etc. for the Isomerised hop extract settings."/>
    <hyperlink ref="AZ77" r:id="rId102" display="www.PetesPintPot.co.uk"/>
    <hyperlink ref="AZ79" r:id="rId103" display="www.PetesPintPot.co.uk"/>
    <hyperlink ref="AZ80" r:id="rId104" display="www.colchesterhomebrew.co.uk"/>
    <hyperlink ref="AZ82" r:id="rId105" display="www.yobrew.co.uk"/>
    <hyperlink ref="AZ91" r:id="rId106" display="www.PetesPintPot.co.uk"/>
    <hyperlink ref="AZ94" r:id="rId107" display="www.yobrew.co.uk"/>
    <hyperlink ref="R107" r:id="rId108" display="www.yobrew.co.uk"/>
    <hyperlink ref="R108" r:id="rId109" display="www.yobrew.co.uk"/>
    <hyperlink ref="R109" r:id="rId110" display="www.yobrew.co.uk"/>
    <hyperlink ref="R110" r:id="rId111" display="www.yobrew.co.uk"/>
    <hyperlink ref="R111" r:id="rId112" display="www.yobrew.co.uk"/>
    <hyperlink ref="R112" r:id="rId113" display="www.yobrew.co.uk"/>
    <hyperlink ref="R113" r:id="rId114" display="www.yobrew.co.uk"/>
    <hyperlink ref="R114" r:id="rId115" display="www.yobrew.co.uk"/>
    <hyperlink ref="R115" r:id="rId116" display="www.yobrew.co.uk"/>
    <hyperlink ref="R116" r:id="rId117" display="www.yobrew.co.uk"/>
    <hyperlink ref="R117" r:id="rId118" display="www.yobrew.co.uk"/>
    <hyperlink ref="R118" r:id="rId119" display="www.yobrew.co.uk"/>
    <hyperlink ref="R119" r:id="rId120" display="www.yobrew.co.uk"/>
    <hyperlink ref="R120" r:id="rId121" display="www.yobrew.co.uk"/>
    <hyperlink ref="R121" r:id="rId122" display="www.yobrew.co.uk"/>
    <hyperlink ref="R122" r:id="rId123" display="www.yobrew.co.uk"/>
    <hyperlink ref="R123" r:id="rId124" display="www.yobrew.co.uk"/>
    <hyperlink ref="R124" r:id="rId125" display="www.yobrew.co.uk"/>
    <hyperlink ref="R125" r:id="rId126" display="www.yobrew.co.uk"/>
    <hyperlink ref="R126" r:id="rId127" display="www.yobrew.co.uk"/>
    <hyperlink ref="R127" r:id="rId128" display="www.yobrew.co.uk"/>
    <hyperlink ref="R128" r:id="rId129" display="www.yobrew.co.uk"/>
    <hyperlink ref="R129" r:id="rId130" display="www.yobrew.co.uk"/>
    <hyperlink ref="R130" r:id="rId131" display="www.yobrew.co.uk"/>
    <hyperlink ref="R131" r:id="rId132" display="www.yobrew.co.uk"/>
    <hyperlink ref="R132" r:id="rId133" display="www.yobrew.co.uk"/>
  </hyperlinks>
  <printOptions horizontalCentered="1"/>
  <pageMargins left="0.2755905511811024" right="0.2755905511811024" top="0.27" bottom="0.35433070866141736" header="0.11811023622047245" footer="0.1968503937007874"/>
  <pageSetup fitToWidth="2" horizontalDpi="600" verticalDpi="600" orientation="portrait" paperSize="9" scale="50" r:id="rId135"/>
  <headerFooter alignWithMargins="0">
    <oddFooter>&amp;L&amp;8&amp;Z&amp;F&amp;C&amp;8P &amp;P of &amp;N&amp;R&amp;8&amp;T   &amp;D</oddFooter>
  </headerFooter>
  <colBreaks count="1" manualBreakCount="1">
    <brk id="38" max="95" man="1"/>
  </colBreaks>
  <drawing r:id="rId134"/>
</worksheet>
</file>

<file path=xl/worksheets/sheet3.xml><?xml version="1.0" encoding="utf-8"?>
<worksheet xmlns="http://schemas.openxmlformats.org/spreadsheetml/2006/main" xmlns:r="http://schemas.openxmlformats.org/officeDocument/2006/relationships">
  <sheetPr>
    <tabColor indexed="52"/>
    <pageSetUpPr fitToPage="1"/>
  </sheetPr>
  <dimension ref="A1:AR152"/>
  <sheetViews>
    <sheetView zoomScale="75" zoomScaleNormal="75" zoomScaleSheetLayoutView="75" zoomScalePageLayoutView="0" workbookViewId="0" topLeftCell="A1">
      <pane ySplit="18" topLeftCell="BM19" activePane="bottomLeft" state="frozen"/>
      <selection pane="topLeft" activeCell="A1" sqref="A1"/>
      <selection pane="bottomLeft" activeCell="S11" sqref="S11"/>
    </sheetView>
  </sheetViews>
  <sheetFormatPr defaultColWidth="7.00390625" defaultRowHeight="15"/>
  <cols>
    <col min="1" max="1" width="0.9921875" style="0" customWidth="1"/>
    <col min="2" max="2" width="4.140625" style="0" customWidth="1"/>
    <col min="3" max="3" width="21.00390625" style="0" customWidth="1"/>
    <col min="4" max="4" width="6.8515625" style="0" customWidth="1"/>
    <col min="5" max="5" width="6.57421875" style="0" customWidth="1"/>
    <col min="6" max="7" width="6.8515625" style="0" customWidth="1"/>
    <col min="9" max="9" width="18.140625" style="0" customWidth="1"/>
    <col min="10" max="10" width="6.8515625" style="0" customWidth="1"/>
    <col min="11" max="13" width="7.140625" style="0" customWidth="1"/>
    <col min="14" max="16" width="7.28125" style="0" customWidth="1"/>
    <col min="17" max="17" width="8.00390625" style="0" customWidth="1"/>
    <col min="18" max="18" width="7.28125" style="0" customWidth="1"/>
    <col min="19" max="19" width="7.421875" style="0" customWidth="1"/>
    <col min="20" max="20" width="1.8515625" style="0" customWidth="1"/>
    <col min="21" max="21" width="3.28125" style="0" customWidth="1"/>
    <col min="22" max="22" width="5.28125" style="0" customWidth="1"/>
    <col min="23" max="23" width="7.7109375" style="0" hidden="1" customWidth="1"/>
    <col min="24" max="24" width="3.57421875" style="0" hidden="1" customWidth="1"/>
    <col min="25" max="26" width="7.7109375" style="0" hidden="1" customWidth="1"/>
    <col min="27" max="27" width="11.28125" style="0" hidden="1" customWidth="1"/>
    <col min="28" max="28" width="8.00390625" style="0" hidden="1" customWidth="1"/>
    <col min="29" max="32" width="7.7109375" style="0" hidden="1" customWidth="1"/>
    <col min="33" max="33" width="8.00390625" style="0" hidden="1" customWidth="1"/>
    <col min="34" max="34" width="6.28125" style="0" hidden="1" customWidth="1"/>
    <col min="35" max="35" width="8.00390625" style="0" hidden="1" customWidth="1"/>
    <col min="36" max="42" width="6.421875" style="0" hidden="1" customWidth="1"/>
    <col min="43" max="43" width="5.7109375" style="0" hidden="1" customWidth="1"/>
    <col min="44" max="44" width="3.00390625" style="0" customWidth="1"/>
  </cols>
  <sheetData>
    <row r="1" spans="1:44" s="1" customFormat="1" ht="17.25">
      <c r="A1" s="185"/>
      <c r="B1" s="205"/>
      <c r="C1" s="206"/>
      <c r="D1" s="205"/>
      <c r="E1" s="205"/>
      <c r="F1" s="205"/>
      <c r="G1" s="205"/>
      <c r="H1" s="205"/>
      <c r="I1" s="2609" t="s">
        <v>650</v>
      </c>
      <c r="J1" s="2609"/>
      <c r="K1" s="2609"/>
      <c r="L1" s="2609"/>
      <c r="M1" s="2609"/>
      <c r="N1" s="2609"/>
      <c r="O1" s="205"/>
      <c r="P1" s="205"/>
      <c r="Q1" s="205"/>
      <c r="R1" s="152"/>
      <c r="S1" s="208"/>
      <c r="T1" s="208"/>
      <c r="U1" s="2551" t="s">
        <v>568</v>
      </c>
      <c r="V1" s="2551"/>
      <c r="W1" s="205"/>
      <c r="X1" s="205"/>
      <c r="AR1" s="185"/>
    </row>
    <row r="2" spans="1:44" s="1" customFormat="1" ht="12.75" customHeight="1">
      <c r="A2" s="185"/>
      <c r="B2" s="2660" t="s">
        <v>451</v>
      </c>
      <c r="C2" s="2660"/>
      <c r="D2" s="1781"/>
      <c r="E2" s="1781"/>
      <c r="F2" s="1787"/>
      <c r="G2" s="391"/>
      <c r="H2" s="391"/>
      <c r="I2" s="391"/>
      <c r="J2" s="207"/>
      <c r="K2" s="1788"/>
      <c r="L2" s="1781"/>
      <c r="M2" s="1781"/>
      <c r="N2" s="1789"/>
      <c r="O2" s="221"/>
      <c r="P2" s="221"/>
      <c r="Q2" s="221"/>
      <c r="R2" s="221"/>
      <c r="S2" s="2606" t="s">
        <v>332</v>
      </c>
      <c r="T2" s="2606"/>
      <c r="U2" s="2606"/>
      <c r="V2" s="2606"/>
      <c r="W2" s="7" t="s">
        <v>429</v>
      </c>
      <c r="X2" s="7" t="s">
        <v>429</v>
      </c>
      <c r="Y2" s="7" t="s">
        <v>429</v>
      </c>
      <c r="Z2" s="7" t="s">
        <v>429</v>
      </c>
      <c r="AA2" s="7" t="s">
        <v>429</v>
      </c>
      <c r="AB2" s="7" t="s">
        <v>429</v>
      </c>
      <c r="AC2" s="7" t="s">
        <v>429</v>
      </c>
      <c r="AD2" s="7" t="s">
        <v>429</v>
      </c>
      <c r="AE2" s="7" t="s">
        <v>429</v>
      </c>
      <c r="AF2" s="7" t="s">
        <v>429</v>
      </c>
      <c r="AG2" s="7" t="s">
        <v>429</v>
      </c>
      <c r="AH2" s="7" t="s">
        <v>429</v>
      </c>
      <c r="AI2" s="8" t="s">
        <v>383</v>
      </c>
      <c r="AJ2" s="8" t="s">
        <v>383</v>
      </c>
      <c r="AK2" s="8" t="s">
        <v>383</v>
      </c>
      <c r="AL2" s="8" t="s">
        <v>383</v>
      </c>
      <c r="AM2" s="8" t="s">
        <v>383</v>
      </c>
      <c r="AN2" s="8" t="s">
        <v>383</v>
      </c>
      <c r="AO2" s="8" t="s">
        <v>383</v>
      </c>
      <c r="AP2" s="8" t="s">
        <v>383</v>
      </c>
      <c r="AQ2" s="8" t="s">
        <v>383</v>
      </c>
      <c r="AR2" s="185"/>
    </row>
    <row r="3" spans="1:44" s="1" customFormat="1" ht="6" customHeight="1">
      <c r="A3" s="185"/>
      <c r="B3" s="416"/>
      <c r="C3" s="384"/>
      <c r="D3" s="384"/>
      <c r="E3" s="384"/>
      <c r="F3" s="384"/>
      <c r="G3" s="384"/>
      <c r="H3" s="384"/>
      <c r="I3" s="384"/>
      <c r="J3" s="384"/>
      <c r="K3" s="384"/>
      <c r="L3" s="384"/>
      <c r="M3" s="384"/>
      <c r="N3" s="384"/>
      <c r="O3" s="173"/>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85"/>
    </row>
    <row r="4" spans="1:44" s="1" customFormat="1" ht="12.75" customHeight="1">
      <c r="A4" s="185"/>
      <c r="B4" s="2640" t="s">
        <v>343</v>
      </c>
      <c r="C4" s="2640"/>
      <c r="D4" s="2640"/>
      <c r="E4" s="2645" t="s">
        <v>31</v>
      </c>
      <c r="F4" s="2645"/>
      <c r="G4" s="2646"/>
      <c r="H4" s="2646"/>
      <c r="I4" s="2646"/>
      <c r="J4" s="2647"/>
      <c r="K4" s="2608" t="s">
        <v>163</v>
      </c>
      <c r="L4" s="2608"/>
      <c r="M4" s="2608"/>
      <c r="N4" s="2608"/>
      <c r="O4" s="2608"/>
      <c r="P4" s="2608"/>
      <c r="Q4" s="2608"/>
      <c r="R4" s="2608"/>
      <c r="S4" s="2608"/>
      <c r="T4" s="2608"/>
      <c r="U4" s="2608"/>
      <c r="V4" s="2608"/>
      <c r="W4" s="174"/>
      <c r="X4" s="174"/>
      <c r="Y4" s="174"/>
      <c r="Z4" s="174"/>
      <c r="AA4" s="174"/>
      <c r="AB4" s="174"/>
      <c r="AC4" s="174"/>
      <c r="AD4" s="174"/>
      <c r="AE4" s="174"/>
      <c r="AF4" s="174"/>
      <c r="AG4" s="174"/>
      <c r="AH4" s="174"/>
      <c r="AI4" s="174"/>
      <c r="AJ4" s="174"/>
      <c r="AK4" s="174"/>
      <c r="AL4" s="174"/>
      <c r="AM4" s="174"/>
      <c r="AN4" s="174"/>
      <c r="AO4" s="174"/>
      <c r="AP4" s="174"/>
      <c r="AQ4" s="174"/>
      <c r="AR4" s="185"/>
    </row>
    <row r="5" spans="1:44" s="1" customFormat="1" ht="12.75" customHeight="1">
      <c r="A5" s="185"/>
      <c r="B5" s="1782" t="s">
        <v>128</v>
      </c>
      <c r="C5" s="1791"/>
      <c r="D5" s="589">
        <f>1000+AC95</f>
        <v>1044.137219736842</v>
      </c>
      <c r="E5" s="2611" t="s">
        <v>129</v>
      </c>
      <c r="F5" s="2612"/>
      <c r="G5" s="2612"/>
      <c r="H5" s="2612"/>
      <c r="I5" s="2612"/>
      <c r="J5" s="1581">
        <f>1000+AC94</f>
        <v>1045.3184697368422</v>
      </c>
      <c r="K5" s="2664" t="s">
        <v>158</v>
      </c>
      <c r="L5" s="2665"/>
      <c r="M5" s="2665"/>
      <c r="N5" s="2665"/>
      <c r="O5" s="2665"/>
      <c r="P5" s="2665"/>
      <c r="Q5" s="2665"/>
      <c r="R5" s="2665"/>
      <c r="S5" s="2665"/>
      <c r="T5" s="2665"/>
      <c r="U5" s="2665"/>
      <c r="V5" s="1792"/>
      <c r="W5" s="174"/>
      <c r="X5" s="174"/>
      <c r="Y5" s="174"/>
      <c r="Z5" s="174"/>
      <c r="AA5" s="174"/>
      <c r="AB5" s="174"/>
      <c r="AC5" s="174"/>
      <c r="AD5" s="174"/>
      <c r="AE5" s="174"/>
      <c r="AF5" s="174"/>
      <c r="AG5" s="174"/>
      <c r="AH5" s="174"/>
      <c r="AI5" s="174"/>
      <c r="AJ5" s="174"/>
      <c r="AK5" s="174"/>
      <c r="AL5" s="174"/>
      <c r="AM5" s="174"/>
      <c r="AN5" s="174"/>
      <c r="AO5" s="174"/>
      <c r="AP5" s="174"/>
      <c r="AQ5" s="174"/>
      <c r="AR5" s="185"/>
    </row>
    <row r="6" spans="1:44" s="1" customFormat="1" ht="12.75" customHeight="1">
      <c r="A6" s="185"/>
      <c r="B6" s="1776" t="s">
        <v>130</v>
      </c>
      <c r="C6" s="537"/>
      <c r="D6" s="590">
        <f>1000+AC96</f>
        <v>1010.5929327368422</v>
      </c>
      <c r="E6" s="2574" t="s">
        <v>131</v>
      </c>
      <c r="F6" s="2575"/>
      <c r="G6" s="2575"/>
      <c r="H6" s="2575"/>
      <c r="I6" s="2575"/>
      <c r="J6" s="633">
        <f>1000+AC97</f>
        <v>1010.4985069763458</v>
      </c>
      <c r="K6" s="2666"/>
      <c r="L6" s="2667"/>
      <c r="M6" s="2667"/>
      <c r="N6" s="2650" t="s">
        <v>35</v>
      </c>
      <c r="O6" s="2650"/>
      <c r="P6" s="2650"/>
      <c r="Q6" s="2610" t="s">
        <v>36</v>
      </c>
      <c r="R6" s="2610"/>
      <c r="S6" s="638" t="s">
        <v>37</v>
      </c>
      <c r="T6" s="638"/>
      <c r="U6" s="638"/>
      <c r="V6" s="1793"/>
      <c r="W6" s="174"/>
      <c r="X6" s="174"/>
      <c r="Y6" s="174"/>
      <c r="Z6" s="174"/>
      <c r="AA6" s="174"/>
      <c r="AB6" s="174"/>
      <c r="AC6" s="174"/>
      <c r="AD6" s="174"/>
      <c r="AE6" s="174"/>
      <c r="AF6" s="174"/>
      <c r="AG6" s="174"/>
      <c r="AH6" s="174"/>
      <c r="AI6" s="174"/>
      <c r="AJ6" s="174"/>
      <c r="AK6" s="174"/>
      <c r="AL6" s="174"/>
      <c r="AM6" s="174"/>
      <c r="AN6" s="174"/>
      <c r="AO6" s="174"/>
      <c r="AP6" s="174"/>
      <c r="AQ6" s="174"/>
      <c r="AR6" s="185"/>
    </row>
    <row r="7" spans="1:44" s="1" customFormat="1" ht="12.75" customHeight="1">
      <c r="A7" s="185"/>
      <c r="B7" s="1776" t="s">
        <v>132</v>
      </c>
      <c r="C7" s="537"/>
      <c r="D7" s="963">
        <f>(D5-D6)/(7.75-(3*(D5-1000)/800))</f>
        <v>4.422750538232511</v>
      </c>
      <c r="E7" s="2613" t="s">
        <v>133</v>
      </c>
      <c r="F7" s="2587"/>
      <c r="G7" s="2587"/>
      <c r="H7" s="2587"/>
      <c r="I7" s="2587"/>
      <c r="J7" s="634">
        <f>(J5-J6)/(7.75-(3*(J5-1000)/800))</f>
        <v>4.593628854693265</v>
      </c>
      <c r="K7" s="2651" t="s">
        <v>92</v>
      </c>
      <c r="L7" s="2652"/>
      <c r="M7" s="2652"/>
      <c r="N7" s="2652"/>
      <c r="O7" s="595">
        <v>500</v>
      </c>
      <c r="P7" s="596" t="s">
        <v>93</v>
      </c>
      <c r="Q7" s="1794">
        <v>1</v>
      </c>
      <c r="R7" s="597" t="s">
        <v>94</v>
      </c>
      <c r="S7" s="1795">
        <v>12</v>
      </c>
      <c r="T7" s="2607" t="s">
        <v>95</v>
      </c>
      <c r="U7" s="2607"/>
      <c r="V7" s="1793"/>
      <c r="W7" s="174"/>
      <c r="X7" s="174"/>
      <c r="Y7" s="174"/>
      <c r="Z7" s="174"/>
      <c r="AA7" s="174"/>
      <c r="AB7" s="174"/>
      <c r="AC7" s="174"/>
      <c r="AD7" s="174"/>
      <c r="AE7" s="174"/>
      <c r="AF7" s="174"/>
      <c r="AG7" s="174"/>
      <c r="AH7" s="174"/>
      <c r="AI7" s="174"/>
      <c r="AJ7" s="174"/>
      <c r="AK7" s="174"/>
      <c r="AL7" s="174"/>
      <c r="AM7" s="174"/>
      <c r="AN7" s="174"/>
      <c r="AO7" s="174"/>
      <c r="AP7" s="174"/>
      <c r="AQ7" s="174"/>
      <c r="AR7" s="185"/>
    </row>
    <row r="8" spans="1:44" s="1" customFormat="1" ht="12.75" customHeight="1">
      <c r="A8" s="185"/>
      <c r="B8" s="1796" t="s">
        <v>134</v>
      </c>
      <c r="C8" s="1797"/>
      <c r="D8" s="1798">
        <f>VLOOKUP($D$25,$Y$83:$Z$108,2)</f>
        <v>0.878</v>
      </c>
      <c r="E8" s="2655" t="s">
        <v>135</v>
      </c>
      <c r="F8" s="2656"/>
      <c r="G8" s="2656"/>
      <c r="H8" s="2656"/>
      <c r="I8" s="2656"/>
      <c r="J8" s="1799">
        <f>D80</f>
        <v>1.7032631578947366</v>
      </c>
      <c r="K8" s="2614" t="s">
        <v>96</v>
      </c>
      <c r="L8" s="2615"/>
      <c r="M8" s="2615"/>
      <c r="N8" s="2615"/>
      <c r="O8" s="1800">
        <f>O7*AH77</f>
        <v>127.09868215721495</v>
      </c>
      <c r="P8" s="1801"/>
      <c r="Q8" s="1802">
        <f>568*Q7*AH77</f>
        <v>144.38410293059619</v>
      </c>
      <c r="R8" s="1801"/>
      <c r="S8" s="1803">
        <f>29.57*S7*AH77</f>
        <v>90.19939275333232</v>
      </c>
      <c r="T8" s="640"/>
      <c r="U8" s="1590"/>
      <c r="V8" s="1793"/>
      <c r="W8" s="174"/>
      <c r="X8" s="174"/>
      <c r="Y8" s="174"/>
      <c r="Z8" s="174"/>
      <c r="AA8" s="174"/>
      <c r="AB8" s="174"/>
      <c r="AC8" s="174"/>
      <c r="AD8" s="174"/>
      <c r="AE8" s="174"/>
      <c r="AF8" s="174"/>
      <c r="AG8" s="174"/>
      <c r="AH8" s="174"/>
      <c r="AI8" s="174"/>
      <c r="AJ8" s="174"/>
      <c r="AK8" s="174"/>
      <c r="AL8" s="174"/>
      <c r="AM8" s="174"/>
      <c r="AN8" s="174"/>
      <c r="AO8" s="174"/>
      <c r="AP8" s="174"/>
      <c r="AQ8" s="174"/>
      <c r="AR8" s="185"/>
    </row>
    <row r="9" spans="1:44" s="1" customFormat="1" ht="12.75" customHeight="1">
      <c r="A9" s="185"/>
      <c r="B9" s="1804" t="s">
        <v>79</v>
      </c>
      <c r="C9" s="1805"/>
      <c r="D9" s="593" t="str">
        <f>FIXED((W71+W72+W73+W75)*0.03527,2)&amp;"oz"</f>
        <v>0.00oz</v>
      </c>
      <c r="E9" s="2576" t="s">
        <v>136</v>
      </c>
      <c r="F9" s="2577"/>
      <c r="G9" s="2577"/>
      <c r="H9" s="2577"/>
      <c r="I9" s="2577"/>
      <c r="J9" s="1582" t="str">
        <f>FIXED(((W71+W72+W73+W75+W76)*0.03527+D77*D23/(23/40.5)),2)&amp;"oz"</f>
        <v>2.11oz</v>
      </c>
      <c r="K9" s="2574" t="s">
        <v>97</v>
      </c>
      <c r="L9" s="2575"/>
      <c r="M9" s="2575"/>
      <c r="N9" s="2575"/>
      <c r="O9" s="1800">
        <f>O7*AH78</f>
        <v>82.36088640545731</v>
      </c>
      <c r="P9" s="1801"/>
      <c r="Q9" s="1802">
        <f>568*AH78*Q7</f>
        <v>93.56196695659949</v>
      </c>
      <c r="R9" s="1801"/>
      <c r="S9" s="1803">
        <f>29.57*AH78*S7</f>
        <v>58.44987386422494</v>
      </c>
      <c r="T9" s="609"/>
      <c r="U9" s="1590"/>
      <c r="V9" s="1793"/>
      <c r="W9" s="174"/>
      <c r="X9" s="174"/>
      <c r="Y9" s="174"/>
      <c r="Z9" s="174"/>
      <c r="AA9" s="174"/>
      <c r="AB9" s="174"/>
      <c r="AC9" s="174"/>
      <c r="AD9" s="174"/>
      <c r="AE9" s="174"/>
      <c r="AF9" s="174"/>
      <c r="AG9" s="174"/>
      <c r="AH9" s="174"/>
      <c r="AI9" s="174"/>
      <c r="AJ9" s="174"/>
      <c r="AK9" s="174"/>
      <c r="AL9" s="174"/>
      <c r="AM9" s="174"/>
      <c r="AN9" s="174"/>
      <c r="AO9" s="174"/>
      <c r="AP9" s="174"/>
      <c r="AQ9" s="174"/>
      <c r="AR9" s="185"/>
    </row>
    <row r="10" spans="1:44" s="1" customFormat="1" ht="12.75" customHeight="1">
      <c r="A10" s="185"/>
      <c r="B10" s="1806" t="s">
        <v>137</v>
      </c>
      <c r="C10" s="1807"/>
      <c r="D10" s="592">
        <f>AF69+L68</f>
        <v>31.54993745674156</v>
      </c>
      <c r="E10" s="2701" t="s">
        <v>138</v>
      </c>
      <c r="F10" s="2701"/>
      <c r="G10" s="2701"/>
      <c r="H10" s="2701"/>
      <c r="I10" s="2701"/>
      <c r="J10" s="2702"/>
      <c r="K10" s="2574" t="s">
        <v>98</v>
      </c>
      <c r="L10" s="2575"/>
      <c r="M10" s="2575"/>
      <c r="N10" s="2575"/>
      <c r="O10" s="1808">
        <f>O9/3.85</f>
        <v>21.392438027391506</v>
      </c>
      <c r="P10" s="598" t="s">
        <v>290</v>
      </c>
      <c r="Q10" s="1809">
        <f>Q9/3.85</f>
        <v>24.30180959911675</v>
      </c>
      <c r="R10" s="599" t="s">
        <v>290</v>
      </c>
      <c r="S10" s="1810">
        <f>S9/3.85</f>
        <v>15.181785419279205</v>
      </c>
      <c r="T10" s="1583" t="s">
        <v>290</v>
      </c>
      <c r="U10" s="1590"/>
      <c r="V10" s="1793"/>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85"/>
    </row>
    <row r="11" spans="1:44" s="1" customFormat="1" ht="12.75" customHeight="1">
      <c r="A11" s="185"/>
      <c r="B11" s="2653"/>
      <c r="C11" s="2654"/>
      <c r="D11" s="1926">
        <f>AF69+O68</f>
        <v>31.54993745674156</v>
      </c>
      <c r="E11" s="2703" t="s">
        <v>139</v>
      </c>
      <c r="F11" s="2703"/>
      <c r="G11" s="2703"/>
      <c r="H11" s="2703"/>
      <c r="I11" s="2703"/>
      <c r="J11" s="2704"/>
      <c r="K11" s="2582" t="s">
        <v>102</v>
      </c>
      <c r="L11" s="2583"/>
      <c r="M11" s="2583"/>
      <c r="N11" s="2583"/>
      <c r="O11" s="1811">
        <f>SUM(O8:O9)</f>
        <v>209.45956856267225</v>
      </c>
      <c r="P11" s="1812"/>
      <c r="Q11" s="1813">
        <f>SUM(Q8:Q9)</f>
        <v>237.94606988719568</v>
      </c>
      <c r="R11" s="1812"/>
      <c r="S11" s="1814">
        <f>SUM(S8:S9)</f>
        <v>148.64926661755726</v>
      </c>
      <c r="T11" s="911"/>
      <c r="U11" s="1590"/>
      <c r="V11" s="1793"/>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85"/>
    </row>
    <row r="12" spans="1:44" s="1" customFormat="1" ht="12.75" customHeight="1">
      <c r="A12" s="185"/>
      <c r="B12" s="2627"/>
      <c r="C12" s="2563"/>
      <c r="D12" s="964">
        <f>G61</f>
        <v>5.202312138728324</v>
      </c>
      <c r="E12" s="2705" t="s">
        <v>140</v>
      </c>
      <c r="F12" s="2705"/>
      <c r="G12" s="2705"/>
      <c r="H12" s="2705"/>
      <c r="I12" s="2705"/>
      <c r="J12" s="2706"/>
      <c r="K12" s="2622" t="s">
        <v>734</v>
      </c>
      <c r="L12" s="2623"/>
      <c r="M12" s="2623"/>
      <c r="N12" s="2623"/>
      <c r="O12" s="2079">
        <f>O13*O7/1000</f>
        <v>2.2968144273466327</v>
      </c>
      <c r="P12" s="601"/>
      <c r="Q12" s="2080">
        <f>Q13*Q7*568.26/1000</f>
        <v>2.610375532967995</v>
      </c>
      <c r="R12" s="603"/>
      <c r="S12" s="2081">
        <f>S13*S7*29.57/1000</f>
        <v>1.6300032627993586</v>
      </c>
      <c r="T12" s="911"/>
      <c r="U12" s="1590"/>
      <c r="V12" s="1793"/>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85"/>
    </row>
    <row r="13" spans="1:44" s="1" customFormat="1" ht="12.75" customHeight="1">
      <c r="A13" s="185"/>
      <c r="B13" s="2177" t="s">
        <v>402</v>
      </c>
      <c r="C13" s="2178"/>
      <c r="D13" s="591">
        <f>AE77</f>
        <v>390.728652631579</v>
      </c>
      <c r="E13" s="2707" t="str">
        <f>"EBC = "&amp;FIXED(0.508*D13,0)&amp;" SRM"</f>
        <v>EBC = 198 SRM</v>
      </c>
      <c r="F13" s="2707"/>
      <c r="G13" s="2707"/>
      <c r="H13" s="2707"/>
      <c r="I13" s="2707"/>
      <c r="J13" s="2708"/>
      <c r="K13" s="2648" t="s">
        <v>311</v>
      </c>
      <c r="L13" s="2649"/>
      <c r="M13" s="2649"/>
      <c r="N13" s="2649"/>
      <c r="O13" s="1815">
        <f>J7</f>
        <v>4.593628854693265</v>
      </c>
      <c r="P13" s="1816"/>
      <c r="Q13" s="1817">
        <f>J7</f>
        <v>4.593628854693265</v>
      </c>
      <c r="R13" s="1816"/>
      <c r="S13" s="1818">
        <f>J7</f>
        <v>4.593628854693265</v>
      </c>
      <c r="T13" s="1819"/>
      <c r="U13" s="2098"/>
      <c r="V13" s="2099"/>
      <c r="W13" s="370"/>
      <c r="X13" s="370"/>
      <c r="Y13" s="449"/>
      <c r="Z13" s="449"/>
      <c r="AA13" s="449"/>
      <c r="AB13" s="449"/>
      <c r="AC13" s="449"/>
      <c r="AD13" s="449"/>
      <c r="AE13" s="449"/>
      <c r="AF13" s="449"/>
      <c r="AG13" s="169"/>
      <c r="AH13" s="169"/>
      <c r="AI13" s="169"/>
      <c r="AJ13" s="450"/>
      <c r="AK13" s="168"/>
      <c r="AL13" s="450"/>
      <c r="AM13" s="168"/>
      <c r="AN13" s="168"/>
      <c r="AO13" s="168"/>
      <c r="AP13" s="168"/>
      <c r="AQ13" s="168"/>
      <c r="AR13" s="185"/>
    </row>
    <row r="14" spans="1:44" s="1" customFormat="1" ht="14.25" customHeight="1">
      <c r="A14" s="185"/>
      <c r="B14" s="447"/>
      <c r="C14" s="447"/>
      <c r="D14" s="235"/>
      <c r="E14" s="625"/>
      <c r="F14" s="625"/>
      <c r="G14" s="625"/>
      <c r="H14" s="625"/>
      <c r="I14" s="625"/>
      <c r="J14" s="625"/>
      <c r="K14" s="2096"/>
      <c r="L14" s="2096"/>
      <c r="M14" s="2096"/>
      <c r="N14" s="2096"/>
      <c r="O14" s="1808"/>
      <c r="P14" s="1716"/>
      <c r="Q14" s="1809"/>
      <c r="R14" s="1716"/>
      <c r="S14" s="1810"/>
      <c r="T14" s="911"/>
      <c r="U14" s="2097" t="s">
        <v>105</v>
      </c>
      <c r="V14" s="2097" t="s">
        <v>730</v>
      </c>
      <c r="W14" s="370"/>
      <c r="X14" s="370"/>
      <c r="Y14" s="449"/>
      <c r="Z14" s="449"/>
      <c r="AA14" s="449"/>
      <c r="AB14" s="449"/>
      <c r="AC14" s="449"/>
      <c r="AD14" s="449"/>
      <c r="AE14" s="449"/>
      <c r="AF14" s="449"/>
      <c r="AG14" s="169"/>
      <c r="AH14" s="169"/>
      <c r="AI14" s="169"/>
      <c r="AJ14" s="450"/>
      <c r="AK14" s="168"/>
      <c r="AL14" s="450"/>
      <c r="AM14" s="168"/>
      <c r="AN14" s="168"/>
      <c r="AO14" s="168"/>
      <c r="AP14" s="168"/>
      <c r="AQ14" s="168"/>
      <c r="AR14" s="185"/>
    </row>
    <row r="15" spans="1:44" s="1" customFormat="1" ht="15" customHeight="1">
      <c r="A15" s="185"/>
      <c r="B15" s="447"/>
      <c r="C15" s="447"/>
      <c r="D15" s="235"/>
      <c r="E15" s="625"/>
      <c r="F15" s="625"/>
      <c r="G15" s="625"/>
      <c r="H15" s="625"/>
      <c r="I15" s="625"/>
      <c r="J15" s="625"/>
      <c r="K15" s="2096"/>
      <c r="L15" s="2096"/>
      <c r="M15" s="2096"/>
      <c r="N15" s="2096"/>
      <c r="O15" s="1808"/>
      <c r="P15" s="1716"/>
      <c r="Q15" s="1809"/>
      <c r="R15" s="1716"/>
      <c r="S15" s="1810"/>
      <c r="T15" s="911"/>
      <c r="U15" s="1822">
        <v>0.1</v>
      </c>
      <c r="V15" s="1419">
        <f>U15*28.3495</f>
        <v>2.83495</v>
      </c>
      <c r="W15" s="370"/>
      <c r="X15" s="370"/>
      <c r="Y15" s="449"/>
      <c r="Z15" s="449"/>
      <c r="AA15" s="449"/>
      <c r="AB15" s="449"/>
      <c r="AC15" s="449"/>
      <c r="AD15" s="449"/>
      <c r="AE15" s="449"/>
      <c r="AF15" s="449"/>
      <c r="AG15" s="169"/>
      <c r="AH15" s="169"/>
      <c r="AI15" s="169"/>
      <c r="AJ15" s="450"/>
      <c r="AK15" s="168"/>
      <c r="AL15" s="450"/>
      <c r="AM15" s="168"/>
      <c r="AN15" s="168"/>
      <c r="AO15" s="168"/>
      <c r="AP15" s="168"/>
      <c r="AQ15" s="168"/>
      <c r="AR15" s="185"/>
    </row>
    <row r="16" spans="1:44" s="1" customFormat="1" ht="15" customHeight="1">
      <c r="A16" s="185"/>
      <c r="B16" s="416"/>
      <c r="C16" s="384"/>
      <c r="D16" s="384"/>
      <c r="E16" s="384"/>
      <c r="F16" s="1483"/>
      <c r="G16" s="370"/>
      <c r="H16" s="370"/>
      <c r="I16" s="370"/>
      <c r="J16" s="370"/>
      <c r="K16" s="370"/>
      <c r="L16" s="221"/>
      <c r="M16" s="1483"/>
      <c r="N16" s="370"/>
      <c r="O16" s="370"/>
      <c r="P16" s="370"/>
      <c r="Q16" s="1590"/>
      <c r="R16" s="2100"/>
      <c r="S16" s="2100"/>
      <c r="T16" s="2100"/>
      <c r="U16" s="1822">
        <f>U15+0.1</f>
        <v>0.2</v>
      </c>
      <c r="V16" s="1419">
        <f>U16*28.3495</f>
        <v>5.6699</v>
      </c>
      <c r="W16" s="1203"/>
      <c r="X16" s="1203"/>
      <c r="Y16" s="2101"/>
      <c r="Z16" s="2101"/>
      <c r="AA16" s="2101"/>
      <c r="AB16" s="2101"/>
      <c r="AC16" s="2101"/>
      <c r="AD16" s="2101"/>
      <c r="AE16" s="2101"/>
      <c r="AF16" s="2101"/>
      <c r="AG16" s="483"/>
      <c r="AH16" s="483"/>
      <c r="AI16" s="483"/>
      <c r="AJ16" s="2102"/>
      <c r="AK16" s="2103"/>
      <c r="AL16" s="2102"/>
      <c r="AM16" s="2103"/>
      <c r="AN16" s="2103"/>
      <c r="AO16" s="2103"/>
      <c r="AP16" s="2103"/>
      <c r="AQ16" s="2103"/>
      <c r="AR16" s="2104"/>
    </row>
    <row r="17" spans="1:44" s="1" customFormat="1" ht="15" customHeight="1">
      <c r="A17" s="185"/>
      <c r="B17" s="416"/>
      <c r="C17" s="384"/>
      <c r="D17" s="384"/>
      <c r="E17" s="384"/>
      <c r="F17" s="1483"/>
      <c r="G17" s="370"/>
      <c r="H17" s="370"/>
      <c r="I17" s="370"/>
      <c r="J17" s="370"/>
      <c r="K17" s="370"/>
      <c r="L17" s="221"/>
      <c r="M17" s="1483"/>
      <c r="N17" s="370"/>
      <c r="O17" s="370"/>
      <c r="P17" s="370"/>
      <c r="Q17" s="1590"/>
      <c r="R17" s="2100"/>
      <c r="S17" s="2100"/>
      <c r="T17" s="2100"/>
      <c r="U17" s="1822">
        <f>U16+0.1</f>
        <v>0.30000000000000004</v>
      </c>
      <c r="V17" s="1419">
        <f>U17*28.3495</f>
        <v>8.504850000000001</v>
      </c>
      <c r="W17" s="1203"/>
      <c r="X17" s="1203"/>
      <c r="Y17" s="2101"/>
      <c r="Z17" s="2101"/>
      <c r="AA17" s="2101"/>
      <c r="AB17" s="2101"/>
      <c r="AC17" s="2101"/>
      <c r="AD17" s="2101"/>
      <c r="AE17" s="2101"/>
      <c r="AF17" s="2101"/>
      <c r="AG17" s="483"/>
      <c r="AH17" s="483"/>
      <c r="AI17" s="483"/>
      <c r="AJ17" s="2102"/>
      <c r="AK17" s="2103"/>
      <c r="AL17" s="2102"/>
      <c r="AM17" s="2103"/>
      <c r="AN17" s="2103"/>
      <c r="AO17" s="2103"/>
      <c r="AP17" s="2103"/>
      <c r="AQ17" s="2103"/>
      <c r="AR17" s="2104"/>
    </row>
    <row r="18" spans="1:44" s="1" customFormat="1" ht="15" customHeight="1">
      <c r="A18" s="185"/>
      <c r="B18" s="416"/>
      <c r="C18" s="384"/>
      <c r="D18" s="384"/>
      <c r="E18" s="384"/>
      <c r="F18" s="1483"/>
      <c r="G18" s="370"/>
      <c r="H18" s="370"/>
      <c r="I18" s="370"/>
      <c r="J18" s="370"/>
      <c r="K18" s="370"/>
      <c r="L18" s="221"/>
      <c r="M18" s="1483"/>
      <c r="N18" s="370"/>
      <c r="O18" s="370"/>
      <c r="P18" s="370"/>
      <c r="Q18" s="1590"/>
      <c r="R18" s="2100"/>
      <c r="S18" s="2100"/>
      <c r="T18" s="2100"/>
      <c r="U18" s="1822">
        <f>U17+0.1</f>
        <v>0.4</v>
      </c>
      <c r="V18" s="1419">
        <f>U18*28.3495</f>
        <v>11.3398</v>
      </c>
      <c r="W18" s="1203"/>
      <c r="X18" s="1203"/>
      <c r="Y18" s="2101"/>
      <c r="Z18" s="2101"/>
      <c r="AA18" s="2101"/>
      <c r="AB18" s="2101"/>
      <c r="AC18" s="2101"/>
      <c r="AD18" s="2101"/>
      <c r="AE18" s="2101"/>
      <c r="AF18" s="2101"/>
      <c r="AG18" s="483"/>
      <c r="AH18" s="483"/>
      <c r="AI18" s="483"/>
      <c r="AJ18" s="2102"/>
      <c r="AK18" s="2103"/>
      <c r="AL18" s="2102"/>
      <c r="AM18" s="2103"/>
      <c r="AN18" s="2103"/>
      <c r="AO18" s="2103"/>
      <c r="AP18" s="2103"/>
      <c r="AQ18" s="2103"/>
      <c r="AR18" s="2104"/>
    </row>
    <row r="19" spans="1:44" s="1" customFormat="1" ht="15" customHeight="1">
      <c r="A19" s="185"/>
      <c r="B19" s="416"/>
      <c r="C19" s="384"/>
      <c r="D19" s="384"/>
      <c r="E19" s="384"/>
      <c r="F19" s="1483"/>
      <c r="G19" s="370"/>
      <c r="H19" s="370"/>
      <c r="I19" s="370"/>
      <c r="J19" s="370"/>
      <c r="K19" s="370"/>
      <c r="L19" s="221"/>
      <c r="M19" s="1483"/>
      <c r="N19" s="370"/>
      <c r="O19" s="370"/>
      <c r="P19" s="370"/>
      <c r="Q19" s="1590"/>
      <c r="R19" s="2100"/>
      <c r="S19" s="2100"/>
      <c r="T19" s="2100"/>
      <c r="U19" s="1822">
        <f>U18+0.1</f>
        <v>0.5</v>
      </c>
      <c r="V19" s="1419">
        <f>U19*28.3495</f>
        <v>14.17475</v>
      </c>
      <c r="W19" s="1203"/>
      <c r="X19" s="1203"/>
      <c r="Y19" s="2101"/>
      <c r="Z19" s="2101"/>
      <c r="AA19" s="2101"/>
      <c r="AB19" s="2101"/>
      <c r="AC19" s="2101"/>
      <c r="AD19" s="2101"/>
      <c r="AE19" s="2101"/>
      <c r="AF19" s="2101"/>
      <c r="AG19" s="483"/>
      <c r="AH19" s="483"/>
      <c r="AI19" s="483"/>
      <c r="AJ19" s="2102"/>
      <c r="AK19" s="2103"/>
      <c r="AL19" s="2102"/>
      <c r="AM19" s="2103"/>
      <c r="AN19" s="2103"/>
      <c r="AO19" s="2103"/>
      <c r="AP19" s="2103"/>
      <c r="AQ19" s="2103"/>
      <c r="AR19" s="2104"/>
    </row>
    <row r="20" spans="1:44" s="1" customFormat="1" ht="12.75" customHeight="1">
      <c r="A20" s="185"/>
      <c r="B20" s="416"/>
      <c r="C20" s="384"/>
      <c r="D20" s="1820"/>
      <c r="E20" s="1821"/>
      <c r="F20" s="2641" t="s">
        <v>452</v>
      </c>
      <c r="G20" s="2510"/>
      <c r="H20" s="2510"/>
      <c r="I20" s="2510"/>
      <c r="J20" s="2510"/>
      <c r="K20" s="370"/>
      <c r="L20" s="221"/>
      <c r="M20" s="1483"/>
      <c r="N20" s="370"/>
      <c r="O20" s="370"/>
      <c r="P20" s="370"/>
      <c r="Q20" s="370"/>
      <c r="R20" s="370"/>
      <c r="S20" s="1203"/>
      <c r="T20" s="1203"/>
      <c r="U20" s="1822">
        <f>U19+0.1</f>
        <v>0.6</v>
      </c>
      <c r="V20" s="1419">
        <f aca="true" t="shared" si="0" ref="V20:V26">U20*28.3495</f>
        <v>17.0097</v>
      </c>
      <c r="W20" s="370"/>
      <c r="X20" s="370"/>
      <c r="Y20" s="449"/>
      <c r="Z20" s="449"/>
      <c r="AA20" s="449"/>
      <c r="AB20" s="449"/>
      <c r="AC20" s="449"/>
      <c r="AD20" s="449"/>
      <c r="AE20" s="449"/>
      <c r="AF20" s="449"/>
      <c r="AG20" s="169"/>
      <c r="AH20" s="169"/>
      <c r="AI20" s="169"/>
      <c r="AJ20" s="450"/>
      <c r="AK20" s="168"/>
      <c r="AL20" s="450"/>
      <c r="AM20" s="168"/>
      <c r="AN20" s="168"/>
      <c r="AO20" s="168"/>
      <c r="AP20" s="168"/>
      <c r="AQ20" s="168"/>
      <c r="AR20" s="185"/>
    </row>
    <row r="21" spans="1:44" s="1" customFormat="1" ht="15" customHeight="1">
      <c r="A21" s="185"/>
      <c r="B21" s="221"/>
      <c r="C21" s="221"/>
      <c r="D21" s="221"/>
      <c r="E21" s="221"/>
      <c r="F21" s="221"/>
      <c r="G21" s="221"/>
      <c r="H21" s="221"/>
      <c r="I21" s="221"/>
      <c r="J21" s="221"/>
      <c r="K21" s="221"/>
      <c r="L21" s="221"/>
      <c r="M21" s="434"/>
      <c r="N21" s="221"/>
      <c r="O21" s="221"/>
      <c r="P21" s="221"/>
      <c r="Q21" s="221"/>
      <c r="R21" s="152"/>
      <c r="S21" s="1203"/>
      <c r="T21" s="1203"/>
      <c r="U21" s="1822">
        <f aca="true" t="shared" si="1" ref="U21:U26">U20+0.1</f>
        <v>0.7</v>
      </c>
      <c r="V21" s="1419">
        <f t="shared" si="0"/>
        <v>19.844649999999998</v>
      </c>
      <c r="W21" s="365"/>
      <c r="X21" s="365"/>
      <c r="Y21" s="13"/>
      <c r="Z21" s="13"/>
      <c r="AA21" s="13"/>
      <c r="AB21" s="13"/>
      <c r="AC21" s="14"/>
      <c r="AD21" s="15"/>
      <c r="AE21" s="15"/>
      <c r="AF21" s="15"/>
      <c r="AG21" s="449"/>
      <c r="AH21" s="449"/>
      <c r="AI21" s="449"/>
      <c r="AJ21" s="210"/>
      <c r="AK21" s="210"/>
      <c r="AL21" s="210"/>
      <c r="AM21" s="210"/>
      <c r="AN21" s="210"/>
      <c r="AO21" s="210"/>
      <c r="AP21" s="210"/>
      <c r="AQ21" s="169"/>
      <c r="AR21" s="185"/>
    </row>
    <row r="22" spans="1:44" s="1" customFormat="1" ht="15" customHeight="1">
      <c r="A22" s="185"/>
      <c r="B22" s="2642" t="s">
        <v>385</v>
      </c>
      <c r="C22" s="2643"/>
      <c r="D22" s="2643"/>
      <c r="E22" s="2644" t="s">
        <v>325</v>
      </c>
      <c r="F22" s="2644"/>
      <c r="G22" s="2644"/>
      <c r="H22" s="2644"/>
      <c r="I22" s="2644"/>
      <c r="J22" s="2644"/>
      <c r="K22" s="2644"/>
      <c r="L22" s="2644"/>
      <c r="M22" s="434"/>
      <c r="N22" s="221"/>
      <c r="O22" s="221"/>
      <c r="P22" s="221"/>
      <c r="Q22" s="221"/>
      <c r="R22" s="152"/>
      <c r="S22" s="1203"/>
      <c r="T22" s="1203"/>
      <c r="U22" s="1822">
        <f t="shared" si="1"/>
        <v>0.7999999999999999</v>
      </c>
      <c r="V22" s="1419">
        <f t="shared" si="0"/>
        <v>22.679599999999997</v>
      </c>
      <c r="W22" s="554"/>
      <c r="X22" s="554"/>
      <c r="Y22" s="13"/>
      <c r="Z22" s="13"/>
      <c r="AA22" s="13"/>
      <c r="AB22" s="13"/>
      <c r="AC22" s="14"/>
      <c r="AD22" s="15"/>
      <c r="AE22" s="15"/>
      <c r="AF22" s="15"/>
      <c r="AG22" s="169"/>
      <c r="AH22" s="169"/>
      <c r="AI22" s="169"/>
      <c r="AJ22" s="210"/>
      <c r="AK22" s="210"/>
      <c r="AL22" s="210"/>
      <c r="AM22" s="210"/>
      <c r="AN22" s="210"/>
      <c r="AO22" s="210"/>
      <c r="AP22" s="210"/>
      <c r="AQ22" s="169"/>
      <c r="AR22" s="185"/>
    </row>
    <row r="23" spans="1:44" s="1" customFormat="1" ht="15" customHeight="1">
      <c r="A23" s="221"/>
      <c r="B23" s="209"/>
      <c r="C23" s="2063" t="s">
        <v>439</v>
      </c>
      <c r="D23" s="338">
        <v>19</v>
      </c>
      <c r="E23" s="2587" t="str">
        <f>" = "&amp;FIXED(D23*1.76)&amp;" UK pt. &amp; "&amp;FIXED(D23*1.76*6/5)&amp;" US pt."</f>
        <v> = 33.44 UK pt. &amp; 40.13 US pt.</v>
      </c>
      <c r="F23" s="2587"/>
      <c r="G23" s="2587"/>
      <c r="H23" s="2587"/>
      <c r="I23" s="2585" t="s">
        <v>1437</v>
      </c>
      <c r="J23" s="2585"/>
      <c r="K23" s="2585"/>
      <c r="L23" s="2586"/>
      <c r="M23" s="189" t="s">
        <v>492</v>
      </c>
      <c r="N23" s="189" t="s">
        <v>367</v>
      </c>
      <c r="O23" s="189" t="s">
        <v>654</v>
      </c>
      <c r="P23" s="221"/>
      <c r="Q23" s="189" t="s">
        <v>491</v>
      </c>
      <c r="R23" s="189" t="s">
        <v>117</v>
      </c>
      <c r="S23" s="189" t="s">
        <v>655</v>
      </c>
      <c r="T23" s="1203"/>
      <c r="U23" s="1822">
        <f t="shared" si="1"/>
        <v>0.8999999999999999</v>
      </c>
      <c r="V23" s="1419">
        <f t="shared" si="0"/>
        <v>25.514549999999996</v>
      </c>
      <c r="W23" s="365"/>
      <c r="X23" s="365"/>
      <c r="Y23" s="13"/>
      <c r="Z23" s="13"/>
      <c r="AA23" s="13"/>
      <c r="AB23" s="13"/>
      <c r="AC23" s="14"/>
      <c r="AD23" s="15"/>
      <c r="AE23" s="15"/>
      <c r="AF23" s="15"/>
      <c r="AG23" s="169"/>
      <c r="AH23" s="169"/>
      <c r="AI23" s="169"/>
      <c r="AJ23" s="210"/>
      <c r="AK23" s="210"/>
      <c r="AL23" s="210"/>
      <c r="AM23" s="210"/>
      <c r="AN23" s="210"/>
      <c r="AO23" s="210"/>
      <c r="AP23" s="210"/>
      <c r="AQ23" s="169"/>
      <c r="AR23" s="185"/>
    </row>
    <row r="24" spans="1:44" s="1" customFormat="1" ht="15" customHeight="1">
      <c r="A24" s="221"/>
      <c r="B24" s="209"/>
      <c r="C24" s="436" t="s">
        <v>390</v>
      </c>
      <c r="D24" s="339">
        <v>75</v>
      </c>
      <c r="E24" s="2584" t="s">
        <v>395</v>
      </c>
      <c r="F24" s="2466"/>
      <c r="G24" s="2466"/>
      <c r="H24" s="2466"/>
      <c r="I24" s="2466"/>
      <c r="J24" s="370"/>
      <c r="K24" s="1823"/>
      <c r="L24" s="1824"/>
      <c r="M24" s="1197">
        <v>5</v>
      </c>
      <c r="N24" s="190">
        <f>M24*3.7854*6/5</f>
        <v>22.7124</v>
      </c>
      <c r="O24" s="190">
        <f>M24*8</f>
        <v>40</v>
      </c>
      <c r="P24" s="221"/>
      <c r="Q24" s="1197">
        <v>5</v>
      </c>
      <c r="R24" s="190">
        <f>3.7854*Q24</f>
        <v>18.927</v>
      </c>
      <c r="S24" s="190">
        <f>Q24*8</f>
        <v>40</v>
      </c>
      <c r="T24" s="1203"/>
      <c r="U24" s="1822">
        <f t="shared" si="1"/>
        <v>0.9999999999999999</v>
      </c>
      <c r="V24" s="1419">
        <f t="shared" si="0"/>
        <v>28.349499999999995</v>
      </c>
      <c r="W24" s="365"/>
      <c r="X24" s="365"/>
      <c r="Y24" s="13"/>
      <c r="Z24" s="13"/>
      <c r="AA24" s="13"/>
      <c r="AB24" s="13"/>
      <c r="AC24" s="14"/>
      <c r="AD24" s="15"/>
      <c r="AE24" s="15"/>
      <c r="AF24" s="15"/>
      <c r="AG24" s="169"/>
      <c r="AH24" s="169"/>
      <c r="AI24" s="169"/>
      <c r="AJ24" s="210"/>
      <c r="AK24" s="210"/>
      <c r="AL24" s="210"/>
      <c r="AM24" s="210"/>
      <c r="AN24" s="210"/>
      <c r="AO24" s="210"/>
      <c r="AP24" s="210"/>
      <c r="AQ24" s="169"/>
      <c r="AR24" s="185"/>
    </row>
    <row r="25" spans="1:44" s="1" customFormat="1" ht="15" customHeight="1">
      <c r="A25" s="221"/>
      <c r="B25" s="209"/>
      <c r="C25" s="437" t="s">
        <v>396</v>
      </c>
      <c r="D25" s="340">
        <v>20</v>
      </c>
      <c r="E25" s="2661" t="s">
        <v>1158</v>
      </c>
      <c r="F25" s="2466"/>
      <c r="G25" s="2466"/>
      <c r="H25" s="2466"/>
      <c r="I25" s="2466"/>
      <c r="J25" s="370"/>
      <c r="K25" s="221"/>
      <c r="L25" s="221"/>
      <c r="M25" s="221"/>
      <c r="N25" s="221"/>
      <c r="O25" s="221"/>
      <c r="P25" s="221"/>
      <c r="Q25" s="221"/>
      <c r="R25" s="152"/>
      <c r="S25" s="1203"/>
      <c r="T25" s="1203"/>
      <c r="U25" s="1822">
        <f t="shared" si="1"/>
        <v>1.0999999999999999</v>
      </c>
      <c r="V25" s="1419">
        <f t="shared" si="0"/>
        <v>31.184449999999995</v>
      </c>
      <c r="W25" s="365"/>
      <c r="X25" s="365"/>
      <c r="Y25" s="13"/>
      <c r="Z25" s="13"/>
      <c r="AA25" s="13"/>
      <c r="AB25" s="13"/>
      <c r="AC25" s="14"/>
      <c r="AD25" s="15"/>
      <c r="AE25" s="15"/>
      <c r="AF25" s="15"/>
      <c r="AG25" s="169"/>
      <c r="AH25" s="169"/>
      <c r="AI25" s="169"/>
      <c r="AJ25" s="210"/>
      <c r="AK25" s="210"/>
      <c r="AL25" s="210"/>
      <c r="AM25" s="210"/>
      <c r="AN25" s="210"/>
      <c r="AO25" s="210"/>
      <c r="AP25" s="210"/>
      <c r="AQ25" s="169"/>
      <c r="AR25" s="185"/>
    </row>
    <row r="26" spans="1:44" s="1" customFormat="1" ht="12" customHeight="1">
      <c r="A26" s="221"/>
      <c r="B26" s="209"/>
      <c r="C26" s="437"/>
      <c r="D26" s="437"/>
      <c r="E26" s="437"/>
      <c r="F26" s="437"/>
      <c r="G26" s="437"/>
      <c r="H26" s="437"/>
      <c r="I26" s="370"/>
      <c r="J26" s="370"/>
      <c r="K26" s="221"/>
      <c r="L26" s="221"/>
      <c r="M26" s="221"/>
      <c r="N26" s="221"/>
      <c r="O26" s="221"/>
      <c r="P26" s="434"/>
      <c r="Q26" s="434"/>
      <c r="R26" s="1825"/>
      <c r="S26" s="1823"/>
      <c r="T26" s="1823"/>
      <c r="U26" s="1822">
        <f t="shared" si="1"/>
        <v>1.2</v>
      </c>
      <c r="V26" s="1419">
        <f t="shared" si="0"/>
        <v>34.0194</v>
      </c>
      <c r="W26" s="365"/>
      <c r="X26" s="365"/>
      <c r="Y26" s="13"/>
      <c r="Z26" s="13"/>
      <c r="AA26" s="13"/>
      <c r="AB26" s="13"/>
      <c r="AC26" s="14"/>
      <c r="AD26" s="15"/>
      <c r="AE26" s="15"/>
      <c r="AF26" s="15"/>
      <c r="AG26" s="169"/>
      <c r="AH26" s="169"/>
      <c r="AI26" s="169"/>
      <c r="AJ26" s="210"/>
      <c r="AK26" s="210"/>
      <c r="AL26" s="210"/>
      <c r="AM26" s="210"/>
      <c r="AN26" s="210"/>
      <c r="AO26" s="210"/>
      <c r="AP26" s="210"/>
      <c r="AQ26" s="169"/>
      <c r="AR26" s="185"/>
    </row>
    <row r="27" spans="1:44" s="1" customFormat="1" ht="15" customHeight="1">
      <c r="A27" s="221"/>
      <c r="B27" s="2662" t="s">
        <v>165</v>
      </c>
      <c r="C27" s="2662"/>
      <c r="D27" s="2662"/>
      <c r="E27" s="2662"/>
      <c r="F27" s="2662"/>
      <c r="G27" s="2662"/>
      <c r="H27" s="2662"/>
      <c r="I27" s="1584"/>
      <c r="J27" s="1823"/>
      <c r="K27" s="2638" t="s">
        <v>573</v>
      </c>
      <c r="L27" s="2638"/>
      <c r="M27" s="2638"/>
      <c r="N27" s="2638"/>
      <c r="O27" s="2638"/>
      <c r="P27" s="2638"/>
      <c r="Q27" s="2616" t="s">
        <v>576</v>
      </c>
      <c r="R27" s="2617"/>
      <c r="S27" s="2617"/>
      <c r="T27" s="1823"/>
      <c r="U27" s="1822">
        <f aca="true" t="shared" si="2" ref="U27:U33">U26+0.1</f>
        <v>1.3</v>
      </c>
      <c r="V27" s="1419">
        <f aca="true" t="shared" si="3" ref="V27:V33">U27*28.3495</f>
        <v>36.85435</v>
      </c>
      <c r="W27" s="365"/>
      <c r="X27" s="365"/>
      <c r="Y27" s="13"/>
      <c r="Z27" s="13"/>
      <c r="AA27" s="13"/>
      <c r="AB27" s="13"/>
      <c r="AC27" s="14"/>
      <c r="AD27" s="15"/>
      <c r="AE27" s="15"/>
      <c r="AF27" s="15"/>
      <c r="AG27" s="169"/>
      <c r="AH27" s="169"/>
      <c r="AI27" s="169"/>
      <c r="AJ27" s="210"/>
      <c r="AK27" s="210"/>
      <c r="AL27" s="210"/>
      <c r="AM27" s="210"/>
      <c r="AN27" s="210"/>
      <c r="AO27" s="210"/>
      <c r="AP27" s="210"/>
      <c r="AQ27" s="169"/>
      <c r="AR27" s="185"/>
    </row>
    <row r="28" spans="1:44" s="1" customFormat="1" ht="15" customHeight="1">
      <c r="A28" s="221"/>
      <c r="B28" s="2663"/>
      <c r="C28" s="2663"/>
      <c r="D28" s="2663"/>
      <c r="E28" s="2663"/>
      <c r="F28" s="2663"/>
      <c r="G28" s="2663"/>
      <c r="H28" s="2663"/>
      <c r="I28" s="1585"/>
      <c r="J28" s="210"/>
      <c r="K28" s="2618" t="s">
        <v>1156</v>
      </c>
      <c r="L28" s="2618"/>
      <c r="M28" s="2618"/>
      <c r="N28" s="2618"/>
      <c r="O28" s="2618"/>
      <c r="P28" s="2618"/>
      <c r="Q28" s="2618" t="s">
        <v>581</v>
      </c>
      <c r="R28" s="2618"/>
      <c r="S28" s="2618"/>
      <c r="T28" s="1823"/>
      <c r="U28" s="1822">
        <f t="shared" si="2"/>
        <v>1.4000000000000001</v>
      </c>
      <c r="V28" s="1419">
        <f t="shared" si="3"/>
        <v>39.6893</v>
      </c>
      <c r="W28" s="365"/>
      <c r="X28" s="365"/>
      <c r="AI28" s="310"/>
      <c r="AJ28" s="211"/>
      <c r="AK28" s="211"/>
      <c r="AL28" s="211"/>
      <c r="AM28" s="211"/>
      <c r="AN28" s="211"/>
      <c r="AO28" s="211"/>
      <c r="AP28" s="211"/>
      <c r="AQ28" s="169"/>
      <c r="AR28" s="185"/>
    </row>
    <row r="29" spans="1:44" s="1" customFormat="1" ht="15" customHeight="1">
      <c r="A29" s="221"/>
      <c r="B29" s="2628" t="s">
        <v>75</v>
      </c>
      <c r="C29" s="2629"/>
      <c r="D29" s="1826"/>
      <c r="E29" s="1826"/>
      <c r="F29" s="1826"/>
      <c r="G29" s="588"/>
      <c r="H29" s="392"/>
      <c r="I29" s="2630"/>
      <c r="J29" s="2631"/>
      <c r="K29" s="2624" t="s">
        <v>398</v>
      </c>
      <c r="L29" s="2625"/>
      <c r="M29" s="2625"/>
      <c r="N29" s="2625"/>
      <c r="O29" s="2625"/>
      <c r="P29" s="2626"/>
      <c r="Q29" s="2624" t="s">
        <v>577</v>
      </c>
      <c r="R29" s="2625"/>
      <c r="S29" s="2626"/>
      <c r="T29" s="169"/>
      <c r="U29" s="1418">
        <f t="shared" si="2"/>
        <v>1.5000000000000002</v>
      </c>
      <c r="V29" s="1419">
        <f t="shared" si="3"/>
        <v>42.52425</v>
      </c>
      <c r="W29" s="390"/>
      <c r="X29" s="390"/>
      <c r="Y29" s="13"/>
      <c r="Z29" s="13"/>
      <c r="AA29" s="13"/>
      <c r="AB29" s="13"/>
      <c r="AC29" s="14"/>
      <c r="AD29" s="15"/>
      <c r="AE29" s="15"/>
      <c r="AF29" s="15"/>
      <c r="AG29" s="310"/>
      <c r="AH29" s="310"/>
      <c r="AI29" s="483"/>
      <c r="AJ29" s="483"/>
      <c r="AK29" s="483"/>
      <c r="AL29" s="483"/>
      <c r="AM29" s="483"/>
      <c r="AN29" s="483"/>
      <c r="AO29" s="483"/>
      <c r="AP29" s="185"/>
      <c r="AQ29" s="185"/>
      <c r="AR29" s="185"/>
    </row>
    <row r="30" spans="1:44" s="1" customFormat="1" ht="15" customHeight="1">
      <c r="A30" s="1789"/>
      <c r="B30" s="1827"/>
      <c r="C30" s="1828"/>
      <c r="D30" s="1828"/>
      <c r="E30" s="1828"/>
      <c r="F30" s="1828"/>
      <c r="G30" s="1828"/>
      <c r="H30" s="1793"/>
      <c r="I30" s="2507"/>
      <c r="J30" s="2632"/>
      <c r="K30" s="2635" t="s">
        <v>579</v>
      </c>
      <c r="L30" s="2620"/>
      <c r="M30" s="2621"/>
      <c r="N30" s="2639" t="s">
        <v>580</v>
      </c>
      <c r="O30" s="2620"/>
      <c r="P30" s="2621"/>
      <c r="Q30" s="2619" t="s">
        <v>578</v>
      </c>
      <c r="R30" s="2620"/>
      <c r="S30" s="2621"/>
      <c r="T30" s="169"/>
      <c r="U30" s="1418">
        <f t="shared" si="2"/>
        <v>1.6000000000000003</v>
      </c>
      <c r="V30" s="1419">
        <f t="shared" si="3"/>
        <v>45.35920000000001</v>
      </c>
      <c r="W30" s="7" t="s">
        <v>429</v>
      </c>
      <c r="X30" s="7" t="s">
        <v>429</v>
      </c>
      <c r="Y30" s="7" t="s">
        <v>429</v>
      </c>
      <c r="Z30" s="7" t="s">
        <v>429</v>
      </c>
      <c r="AA30" s="7" t="s">
        <v>429</v>
      </c>
      <c r="AB30" s="7" t="s">
        <v>429</v>
      </c>
      <c r="AC30" s="7" t="s">
        <v>429</v>
      </c>
      <c r="AD30" s="7" t="s">
        <v>429</v>
      </c>
      <c r="AE30" s="7" t="s">
        <v>429</v>
      </c>
      <c r="AF30" s="7" t="s">
        <v>429</v>
      </c>
      <c r="AG30" s="7" t="s">
        <v>429</v>
      </c>
      <c r="AH30" s="7" t="s">
        <v>429</v>
      </c>
      <c r="AI30" s="8" t="s">
        <v>383</v>
      </c>
      <c r="AJ30" s="8" t="s">
        <v>383</v>
      </c>
      <c r="AK30" s="8" t="s">
        <v>383</v>
      </c>
      <c r="AL30" s="8" t="s">
        <v>383</v>
      </c>
      <c r="AM30" s="8" t="s">
        <v>383</v>
      </c>
      <c r="AN30" s="8" t="s">
        <v>383</v>
      </c>
      <c r="AO30" s="8" t="s">
        <v>383</v>
      </c>
      <c r="AP30" s="8" t="s">
        <v>383</v>
      </c>
      <c r="AQ30" s="8" t="s">
        <v>383</v>
      </c>
      <c r="AR30" s="185"/>
    </row>
    <row r="31" spans="1:44" s="1" customFormat="1" ht="15" customHeight="1">
      <c r="A31" s="1789"/>
      <c r="B31" s="2636" t="s">
        <v>397</v>
      </c>
      <c r="C31" s="2637"/>
      <c r="D31" s="1828"/>
      <c r="E31" s="1828"/>
      <c r="F31" s="1828"/>
      <c r="G31" s="1828"/>
      <c r="H31" s="2137" t="s">
        <v>291</v>
      </c>
      <c r="I31" s="2633"/>
      <c r="J31" s="2634"/>
      <c r="K31" s="2590" t="s">
        <v>115</v>
      </c>
      <c r="L31" s="2590" t="s">
        <v>118</v>
      </c>
      <c r="M31" s="2590" t="s">
        <v>119</v>
      </c>
      <c r="N31" s="2590" t="s">
        <v>115</v>
      </c>
      <c r="O31" s="2590" t="s">
        <v>118</v>
      </c>
      <c r="P31" s="2590" t="s">
        <v>119</v>
      </c>
      <c r="Q31" s="2590" t="s">
        <v>115</v>
      </c>
      <c r="R31" s="2590" t="s">
        <v>118</v>
      </c>
      <c r="S31" s="2590" t="s">
        <v>119</v>
      </c>
      <c r="T31" s="169"/>
      <c r="U31" s="1418">
        <f t="shared" si="2"/>
        <v>1.7000000000000004</v>
      </c>
      <c r="V31" s="1419">
        <f t="shared" si="3"/>
        <v>48.19415000000001</v>
      </c>
      <c r="W31" s="365"/>
      <c r="X31" s="365"/>
      <c r="Y31" s="29" t="s">
        <v>400</v>
      </c>
      <c r="Z31" s="29" t="s">
        <v>401</v>
      </c>
      <c r="AA31" s="29" t="s">
        <v>402</v>
      </c>
      <c r="AB31" s="30" t="s">
        <v>403</v>
      </c>
      <c r="AC31" s="31" t="s">
        <v>404</v>
      </c>
      <c r="AD31" s="32" t="s">
        <v>405</v>
      </c>
      <c r="AE31" s="33" t="s">
        <v>402</v>
      </c>
      <c r="AF31" s="34" t="s">
        <v>403</v>
      </c>
      <c r="AG31" s="310"/>
      <c r="AH31" s="40"/>
      <c r="AI31" s="41" t="s">
        <v>408</v>
      </c>
      <c r="AJ31" s="42"/>
      <c r="AK31" s="43"/>
      <c r="AL31" s="44" t="s">
        <v>409</v>
      </c>
      <c r="AM31" s="42"/>
      <c r="AN31" s="43"/>
      <c r="AO31" s="140" t="s">
        <v>417</v>
      </c>
      <c r="AP31" s="141"/>
      <c r="AQ31" s="2"/>
      <c r="AR31" s="185"/>
    </row>
    <row r="32" spans="1:44" s="1" customFormat="1" ht="15" customHeight="1">
      <c r="A32" s="1789"/>
      <c r="B32" s="1829"/>
      <c r="C32" s="1831" t="s">
        <v>464</v>
      </c>
      <c r="D32" s="965" t="s">
        <v>104</v>
      </c>
      <c r="E32" s="965" t="s">
        <v>105</v>
      </c>
      <c r="F32" s="2121" t="s">
        <v>123</v>
      </c>
      <c r="G32" s="966" t="s">
        <v>406</v>
      </c>
      <c r="H32" s="2138" t="s">
        <v>407</v>
      </c>
      <c r="I32" s="1832" t="s">
        <v>399</v>
      </c>
      <c r="J32" s="1587" t="s">
        <v>69</v>
      </c>
      <c r="K32" s="2591"/>
      <c r="L32" s="2591"/>
      <c r="M32" s="2591"/>
      <c r="N32" s="2591"/>
      <c r="O32" s="2591"/>
      <c r="P32" s="2591"/>
      <c r="Q32" s="2591"/>
      <c r="R32" s="2591"/>
      <c r="S32" s="2591"/>
      <c r="T32" s="169"/>
      <c r="U32" s="1418">
        <f t="shared" si="2"/>
        <v>1.8000000000000005</v>
      </c>
      <c r="V32" s="1419">
        <f t="shared" si="3"/>
        <v>51.029100000000014</v>
      </c>
      <c r="W32" s="365"/>
      <c r="X32" s="365"/>
      <c r="Y32" s="29" t="s">
        <v>410</v>
      </c>
      <c r="Z32" s="29" t="s">
        <v>411</v>
      </c>
      <c r="AA32" s="29" t="s">
        <v>412</v>
      </c>
      <c r="AB32" s="30" t="s">
        <v>413</v>
      </c>
      <c r="AC32" s="35"/>
      <c r="AD32" s="36"/>
      <c r="AE32" s="36"/>
      <c r="AF32" s="34"/>
      <c r="AG32" s="27"/>
      <c r="AH32" s="40"/>
      <c r="AI32" s="45" t="s">
        <v>414</v>
      </c>
      <c r="AJ32" s="46" t="s">
        <v>415</v>
      </c>
      <c r="AK32" s="46" t="s">
        <v>416</v>
      </c>
      <c r="AL32" s="46" t="s">
        <v>414</v>
      </c>
      <c r="AM32" s="46" t="s">
        <v>415</v>
      </c>
      <c r="AN32" s="47" t="s">
        <v>416</v>
      </c>
      <c r="AO32" s="47" t="s">
        <v>414</v>
      </c>
      <c r="AP32" s="142" t="s">
        <v>415</v>
      </c>
      <c r="AQ32" s="142" t="s">
        <v>416</v>
      </c>
      <c r="AR32" s="185"/>
    </row>
    <row r="33" spans="1:44" s="1" customFormat="1" ht="15" customHeight="1">
      <c r="A33" s="1789"/>
      <c r="B33" s="1829"/>
      <c r="C33" s="1833" t="str">
        <f aca="true" t="shared" si="4" ref="C33:C39">C111</f>
        <v>Extra Light</v>
      </c>
      <c r="D33" s="2163"/>
      <c r="E33" s="2163"/>
      <c r="F33" s="2122" t="str">
        <f aca="true" t="shared" si="5" ref="F33:F39">FIXED(W33,0)&amp;"g"</f>
        <v>0g</v>
      </c>
      <c r="G33" s="1835">
        <f>100*IF(W33=0,0,W33/W$78)</f>
        <v>0</v>
      </c>
      <c r="H33" s="2132">
        <f aca="true" t="shared" si="6" ref="H33:H39">IF(AC33=0,0,AC33*100/$AC$78)</f>
        <v>0</v>
      </c>
      <c r="I33" s="2129" t="s">
        <v>1424</v>
      </c>
      <c r="J33" s="2126">
        <v>14.5</v>
      </c>
      <c r="K33" s="1836"/>
      <c r="L33" s="1837"/>
      <c r="M33" s="1838"/>
      <c r="N33" s="1839">
        <f aca="true" t="shared" si="7" ref="N33:N50">K33</f>
        <v>0</v>
      </c>
      <c r="O33" s="1839">
        <f aca="true" t="shared" si="8" ref="O33:O50">L33</f>
        <v>0</v>
      </c>
      <c r="P33" s="1840">
        <f aca="true" t="shared" si="9" ref="P33:P50">M33</f>
        <v>0</v>
      </c>
      <c r="Q33" s="1841"/>
      <c r="R33" s="1841"/>
      <c r="S33" s="1842"/>
      <c r="T33" s="169"/>
      <c r="U33" s="1418">
        <f t="shared" si="2"/>
        <v>1.9000000000000006</v>
      </c>
      <c r="V33" s="1419">
        <f t="shared" si="3"/>
        <v>53.86405000000001</v>
      </c>
      <c r="W33" s="264">
        <f aca="true" t="shared" si="10" ref="W33:W39">453.6*(D33+E33/16)</f>
        <v>0</v>
      </c>
      <c r="X33" s="60" t="s">
        <v>290</v>
      </c>
      <c r="Y33" s="30">
        <f aca="true" t="shared" si="11" ref="Y33:Y39">D111</f>
        <v>310</v>
      </c>
      <c r="Z33" s="30">
        <f aca="true" t="shared" si="12" ref="Z33:Z39">F111</f>
        <v>0.62</v>
      </c>
      <c r="AA33" s="30">
        <f aca="true" t="shared" si="13" ref="AA33:AB39">I111</f>
        <v>5.5</v>
      </c>
      <c r="AB33" s="30">
        <f t="shared" si="13"/>
        <v>0</v>
      </c>
      <c r="AC33" s="38">
        <f aca="true" t="shared" si="14" ref="AC33:AC39">0.001*W33*Y33</f>
        <v>0</v>
      </c>
      <c r="AD33" s="32">
        <f aca="true" t="shared" si="15" ref="AD33:AD39">AC33*$Z33</f>
        <v>0</v>
      </c>
      <c r="AE33" s="32">
        <f aca="true" t="shared" si="16" ref="AE33:AE39">0.01*W33*AA33</f>
        <v>0</v>
      </c>
      <c r="AF33" s="32">
        <f aca="true" t="shared" si="17" ref="AF33:AF39">0.01*W33*AB33</f>
        <v>0</v>
      </c>
      <c r="AG33" s="39"/>
      <c r="AH33" s="40"/>
      <c r="AI33" s="48">
        <f aca="true" t="shared" si="18" ref="AI33:AI50">$J33*K33</f>
        <v>0</v>
      </c>
      <c r="AJ33" s="49">
        <f aca="true" t="shared" si="19" ref="AJ33:AJ50">$J33*L33</f>
        <v>0</v>
      </c>
      <c r="AK33" s="49">
        <f aca="true" t="shared" si="20" ref="AK33:AK50">$J33*M33</f>
        <v>0</v>
      </c>
      <c r="AL33" s="49">
        <f aca="true" t="shared" si="21" ref="AL33:AL50">$J33*N33</f>
        <v>0</v>
      </c>
      <c r="AM33" s="49">
        <f aca="true" t="shared" si="22" ref="AM33:AM50">$J33*O33</f>
        <v>0</v>
      </c>
      <c r="AN33" s="49">
        <f aca="true" t="shared" si="23" ref="AN33:AN50">$J33*P33</f>
        <v>0</v>
      </c>
      <c r="AO33" s="49">
        <f aca="true" t="shared" si="24" ref="AO33:AO50">$J33*Q33</f>
        <v>0</v>
      </c>
      <c r="AP33" s="49">
        <f aca="true" t="shared" si="25" ref="AP33:AP50">$J33*R33</f>
        <v>0</v>
      </c>
      <c r="AQ33" s="49">
        <f aca="true" t="shared" si="26" ref="AQ33:AQ50">$J33*S33</f>
        <v>0</v>
      </c>
      <c r="AR33" s="185"/>
    </row>
    <row r="34" spans="1:44" s="1" customFormat="1" ht="15" customHeight="1">
      <c r="A34" s="1789"/>
      <c r="B34" s="1829"/>
      <c r="C34" s="1833" t="str">
        <f t="shared" si="4"/>
        <v>Light</v>
      </c>
      <c r="D34" s="2163"/>
      <c r="E34" s="2163"/>
      <c r="F34" s="2123" t="str">
        <f t="shared" si="5"/>
        <v>0g</v>
      </c>
      <c r="G34" s="1835">
        <f>100*IF(W34=0,0,W34/W$78)</f>
        <v>0</v>
      </c>
      <c r="H34" s="2132">
        <f t="shared" si="6"/>
        <v>0</v>
      </c>
      <c r="I34" s="2129" t="s">
        <v>418</v>
      </c>
      <c r="J34" s="2126">
        <v>6.2</v>
      </c>
      <c r="K34" s="1843"/>
      <c r="L34" s="1844"/>
      <c r="M34" s="1845"/>
      <c r="N34" s="1846">
        <f t="shared" si="7"/>
        <v>0</v>
      </c>
      <c r="O34" s="1846">
        <f t="shared" si="8"/>
        <v>0</v>
      </c>
      <c r="P34" s="1847">
        <f t="shared" si="9"/>
        <v>0</v>
      </c>
      <c r="Q34" s="1848"/>
      <c r="R34" s="1848"/>
      <c r="S34" s="1849"/>
      <c r="T34" s="169"/>
      <c r="U34" s="1418">
        <f aca="true" t="shared" si="27" ref="U34:U92">U33+0.1</f>
        <v>2.0000000000000004</v>
      </c>
      <c r="V34" s="1419">
        <f aca="true" t="shared" si="28" ref="V34:V63">U34*28.3495</f>
        <v>56.69900000000001</v>
      </c>
      <c r="W34" s="264">
        <f t="shared" si="10"/>
        <v>0</v>
      </c>
      <c r="X34" s="60" t="s">
        <v>290</v>
      </c>
      <c r="Y34" s="30">
        <f t="shared" si="11"/>
        <v>310</v>
      </c>
      <c r="Z34" s="30">
        <f t="shared" si="12"/>
        <v>0.62</v>
      </c>
      <c r="AA34" s="30">
        <f t="shared" si="13"/>
        <v>10</v>
      </c>
      <c r="AB34" s="30">
        <f t="shared" si="13"/>
        <v>0</v>
      </c>
      <c r="AC34" s="38">
        <f t="shared" si="14"/>
        <v>0</v>
      </c>
      <c r="AD34" s="32">
        <f t="shared" si="15"/>
        <v>0</v>
      </c>
      <c r="AE34" s="32">
        <f t="shared" si="16"/>
        <v>0</v>
      </c>
      <c r="AF34" s="32">
        <f t="shared" si="17"/>
        <v>0</v>
      </c>
      <c r="AG34" s="39"/>
      <c r="AH34" s="40"/>
      <c r="AI34" s="48">
        <f t="shared" si="18"/>
        <v>0</v>
      </c>
      <c r="AJ34" s="49">
        <f t="shared" si="19"/>
        <v>0</v>
      </c>
      <c r="AK34" s="49">
        <f t="shared" si="20"/>
        <v>0</v>
      </c>
      <c r="AL34" s="49">
        <f t="shared" si="21"/>
        <v>0</v>
      </c>
      <c r="AM34" s="49">
        <f t="shared" si="22"/>
        <v>0</v>
      </c>
      <c r="AN34" s="49">
        <f t="shared" si="23"/>
        <v>0</v>
      </c>
      <c r="AO34" s="49">
        <f t="shared" si="24"/>
        <v>0</v>
      </c>
      <c r="AP34" s="49">
        <f t="shared" si="25"/>
        <v>0</v>
      </c>
      <c r="AQ34" s="49">
        <f t="shared" si="26"/>
        <v>0</v>
      </c>
      <c r="AR34" s="185"/>
    </row>
    <row r="35" spans="1:44" s="1" customFormat="1" ht="15" customHeight="1">
      <c r="A35" s="1789"/>
      <c r="B35" s="1829"/>
      <c r="C35" s="1833" t="str">
        <f t="shared" si="4"/>
        <v>Amber</v>
      </c>
      <c r="D35" s="2163"/>
      <c r="E35" s="2163"/>
      <c r="F35" s="2123" t="str">
        <f t="shared" si="5"/>
        <v>0g</v>
      </c>
      <c r="G35" s="1835">
        <f aca="true" t="shared" si="29" ref="G35:G76">100*IF(W35=0,0,W35/W$78)</f>
        <v>0</v>
      </c>
      <c r="H35" s="2132">
        <f t="shared" si="6"/>
        <v>0</v>
      </c>
      <c r="I35" s="2129" t="s">
        <v>419</v>
      </c>
      <c r="J35" s="2126">
        <v>8</v>
      </c>
      <c r="K35" s="1843"/>
      <c r="L35" s="1844"/>
      <c r="M35" s="1845"/>
      <c r="N35" s="1846">
        <f t="shared" si="7"/>
        <v>0</v>
      </c>
      <c r="O35" s="1846">
        <f t="shared" si="8"/>
        <v>0</v>
      </c>
      <c r="P35" s="1847">
        <f t="shared" si="9"/>
        <v>0</v>
      </c>
      <c r="Q35" s="1848"/>
      <c r="R35" s="1848"/>
      <c r="S35" s="1849"/>
      <c r="T35" s="169"/>
      <c r="U35" s="1418">
        <f t="shared" si="27"/>
        <v>2.1000000000000005</v>
      </c>
      <c r="V35" s="1419">
        <f t="shared" si="28"/>
        <v>59.53395000000001</v>
      </c>
      <c r="W35" s="264">
        <f t="shared" si="10"/>
        <v>0</v>
      </c>
      <c r="X35" s="60" t="s">
        <v>290</v>
      </c>
      <c r="Y35" s="30">
        <f t="shared" si="11"/>
        <v>310</v>
      </c>
      <c r="Z35" s="30">
        <f t="shared" si="12"/>
        <v>0.62</v>
      </c>
      <c r="AA35" s="30">
        <f t="shared" si="13"/>
        <v>18</v>
      </c>
      <c r="AB35" s="30">
        <f t="shared" si="13"/>
        <v>0</v>
      </c>
      <c r="AC35" s="38">
        <f t="shared" si="14"/>
        <v>0</v>
      </c>
      <c r="AD35" s="32">
        <f t="shared" si="15"/>
        <v>0</v>
      </c>
      <c r="AE35" s="32">
        <f t="shared" si="16"/>
        <v>0</v>
      </c>
      <c r="AF35" s="32">
        <f t="shared" si="17"/>
        <v>0</v>
      </c>
      <c r="AG35" s="39"/>
      <c r="AH35" s="40"/>
      <c r="AI35" s="48">
        <f t="shared" si="18"/>
        <v>0</v>
      </c>
      <c r="AJ35" s="49">
        <f t="shared" si="19"/>
        <v>0</v>
      </c>
      <c r="AK35" s="49">
        <f t="shared" si="20"/>
        <v>0</v>
      </c>
      <c r="AL35" s="49">
        <f t="shared" si="21"/>
        <v>0</v>
      </c>
      <c r="AM35" s="49">
        <f t="shared" si="22"/>
        <v>0</v>
      </c>
      <c r="AN35" s="49">
        <f t="shared" si="23"/>
        <v>0</v>
      </c>
      <c r="AO35" s="49">
        <f t="shared" si="24"/>
        <v>0</v>
      </c>
      <c r="AP35" s="49">
        <f t="shared" si="25"/>
        <v>0</v>
      </c>
      <c r="AQ35" s="49">
        <f t="shared" si="26"/>
        <v>0</v>
      </c>
      <c r="AR35" s="185"/>
    </row>
    <row r="36" spans="1:44" s="1" customFormat="1" ht="15" customHeight="1">
      <c r="A36" s="1789"/>
      <c r="B36" s="1829"/>
      <c r="C36" s="1833" t="str">
        <f t="shared" si="4"/>
        <v>Dark</v>
      </c>
      <c r="D36" s="2163"/>
      <c r="E36" s="2163"/>
      <c r="F36" s="2123" t="str">
        <f t="shared" si="5"/>
        <v>0g</v>
      </c>
      <c r="G36" s="1835">
        <f t="shared" si="29"/>
        <v>0</v>
      </c>
      <c r="H36" s="2132">
        <f t="shared" si="6"/>
        <v>0</v>
      </c>
      <c r="I36" s="2129" t="s">
        <v>1425</v>
      </c>
      <c r="J36" s="2126">
        <v>7.4</v>
      </c>
      <c r="K36" s="1843"/>
      <c r="L36" s="1844"/>
      <c r="M36" s="1845"/>
      <c r="N36" s="1846">
        <f t="shared" si="7"/>
        <v>0</v>
      </c>
      <c r="O36" s="1846">
        <f t="shared" si="8"/>
        <v>0</v>
      </c>
      <c r="P36" s="1847">
        <f t="shared" si="9"/>
        <v>0</v>
      </c>
      <c r="Q36" s="1848"/>
      <c r="R36" s="1848"/>
      <c r="S36" s="1849"/>
      <c r="T36" s="169"/>
      <c r="U36" s="1418">
        <f t="shared" si="27"/>
        <v>2.2000000000000006</v>
      </c>
      <c r="V36" s="1419">
        <f t="shared" si="28"/>
        <v>62.36890000000002</v>
      </c>
      <c r="W36" s="264">
        <f t="shared" si="10"/>
        <v>0</v>
      </c>
      <c r="X36" s="60" t="s">
        <v>290</v>
      </c>
      <c r="Y36" s="30">
        <f t="shared" si="11"/>
        <v>310</v>
      </c>
      <c r="Z36" s="30">
        <f t="shared" si="12"/>
        <v>0.62</v>
      </c>
      <c r="AA36" s="30">
        <f t="shared" si="13"/>
        <v>55</v>
      </c>
      <c r="AB36" s="30">
        <f t="shared" si="13"/>
        <v>0</v>
      </c>
      <c r="AC36" s="38">
        <f t="shared" si="14"/>
        <v>0</v>
      </c>
      <c r="AD36" s="32">
        <f t="shared" si="15"/>
        <v>0</v>
      </c>
      <c r="AE36" s="32">
        <f t="shared" si="16"/>
        <v>0</v>
      </c>
      <c r="AF36" s="32">
        <f t="shared" si="17"/>
        <v>0</v>
      </c>
      <c r="AG36" s="39"/>
      <c r="AH36" s="40"/>
      <c r="AI36" s="48">
        <f t="shared" si="18"/>
        <v>0</v>
      </c>
      <c r="AJ36" s="49">
        <f t="shared" si="19"/>
        <v>0</v>
      </c>
      <c r="AK36" s="49">
        <f t="shared" si="20"/>
        <v>0</v>
      </c>
      <c r="AL36" s="49">
        <f t="shared" si="21"/>
        <v>0</v>
      </c>
      <c r="AM36" s="49">
        <f t="shared" si="22"/>
        <v>0</v>
      </c>
      <c r="AN36" s="49">
        <f t="shared" si="23"/>
        <v>0</v>
      </c>
      <c r="AO36" s="49">
        <f t="shared" si="24"/>
        <v>0</v>
      </c>
      <c r="AP36" s="49">
        <f t="shared" si="25"/>
        <v>0</v>
      </c>
      <c r="AQ36" s="49">
        <f t="shared" si="26"/>
        <v>0</v>
      </c>
      <c r="AR36" s="185"/>
    </row>
    <row r="37" spans="1:44" s="1" customFormat="1" ht="15" customHeight="1">
      <c r="A37" s="1789"/>
      <c r="B37" s="1829"/>
      <c r="C37" s="1833" t="str">
        <f t="shared" si="4"/>
        <v>Extra dark</v>
      </c>
      <c r="D37" s="2163"/>
      <c r="E37" s="2163"/>
      <c r="F37" s="2123" t="str">
        <f t="shared" si="5"/>
        <v>0g</v>
      </c>
      <c r="G37" s="1835">
        <f t="shared" si="29"/>
        <v>0</v>
      </c>
      <c r="H37" s="2132">
        <f t="shared" si="6"/>
        <v>0</v>
      </c>
      <c r="I37" s="2129" t="s">
        <v>420</v>
      </c>
      <c r="J37" s="2126">
        <v>7.5</v>
      </c>
      <c r="K37" s="1843"/>
      <c r="L37" s="1844"/>
      <c r="M37" s="1845"/>
      <c r="N37" s="1846">
        <f t="shared" si="7"/>
        <v>0</v>
      </c>
      <c r="O37" s="1846">
        <f t="shared" si="8"/>
        <v>0</v>
      </c>
      <c r="P37" s="1847">
        <f t="shared" si="9"/>
        <v>0</v>
      </c>
      <c r="Q37" s="1848"/>
      <c r="R37" s="1848"/>
      <c r="S37" s="1848"/>
      <c r="T37" s="169"/>
      <c r="U37" s="1418">
        <f t="shared" si="27"/>
        <v>2.3000000000000007</v>
      </c>
      <c r="V37" s="1419">
        <f t="shared" si="28"/>
        <v>65.20385000000002</v>
      </c>
      <c r="W37" s="264">
        <f t="shared" si="10"/>
        <v>0</v>
      </c>
      <c r="X37" s="60" t="s">
        <v>290</v>
      </c>
      <c r="Y37" s="30">
        <f t="shared" si="11"/>
        <v>310</v>
      </c>
      <c r="Z37" s="30">
        <f t="shared" si="12"/>
        <v>0.62</v>
      </c>
      <c r="AA37" s="30">
        <f t="shared" si="13"/>
        <v>95</v>
      </c>
      <c r="AB37" s="30">
        <f t="shared" si="13"/>
        <v>0</v>
      </c>
      <c r="AC37" s="38">
        <f t="shared" si="14"/>
        <v>0</v>
      </c>
      <c r="AD37" s="32">
        <f t="shared" si="15"/>
        <v>0</v>
      </c>
      <c r="AE37" s="32">
        <f t="shared" si="16"/>
        <v>0</v>
      </c>
      <c r="AF37" s="32">
        <f t="shared" si="17"/>
        <v>0</v>
      </c>
      <c r="AG37" s="39"/>
      <c r="AH37" s="40"/>
      <c r="AI37" s="48">
        <f t="shared" si="18"/>
        <v>0</v>
      </c>
      <c r="AJ37" s="49">
        <f t="shared" si="19"/>
        <v>0</v>
      </c>
      <c r="AK37" s="49">
        <f t="shared" si="20"/>
        <v>0</v>
      </c>
      <c r="AL37" s="49">
        <f t="shared" si="21"/>
        <v>0</v>
      </c>
      <c r="AM37" s="49">
        <f t="shared" si="22"/>
        <v>0</v>
      </c>
      <c r="AN37" s="49">
        <f t="shared" si="23"/>
        <v>0</v>
      </c>
      <c r="AO37" s="49">
        <f t="shared" si="24"/>
        <v>0</v>
      </c>
      <c r="AP37" s="49">
        <f t="shared" si="25"/>
        <v>0</v>
      </c>
      <c r="AQ37" s="49">
        <f t="shared" si="26"/>
        <v>0</v>
      </c>
      <c r="AR37" s="185"/>
    </row>
    <row r="38" spans="1:44" s="1" customFormat="1" ht="15" customHeight="1">
      <c r="A38" s="1789"/>
      <c r="B38" s="1829"/>
      <c r="C38" s="1833" t="str">
        <f t="shared" si="4"/>
        <v>Wheat (55%)</v>
      </c>
      <c r="D38" s="2163"/>
      <c r="E38" s="2163"/>
      <c r="F38" s="2123" t="str">
        <f t="shared" si="5"/>
        <v>0g</v>
      </c>
      <c r="G38" s="1835">
        <f t="shared" si="29"/>
        <v>0</v>
      </c>
      <c r="H38" s="2132">
        <f t="shared" si="6"/>
        <v>0</v>
      </c>
      <c r="I38" s="2129" t="s">
        <v>421</v>
      </c>
      <c r="J38" s="2126">
        <v>5.5</v>
      </c>
      <c r="K38" s="1843"/>
      <c r="L38" s="1844"/>
      <c r="M38" s="1845"/>
      <c r="N38" s="1846">
        <f t="shared" si="7"/>
        <v>0</v>
      </c>
      <c r="O38" s="1846">
        <f t="shared" si="8"/>
        <v>0</v>
      </c>
      <c r="P38" s="1847">
        <f t="shared" si="9"/>
        <v>0</v>
      </c>
      <c r="Q38" s="1848"/>
      <c r="R38" s="1848"/>
      <c r="S38" s="1849"/>
      <c r="T38" s="169"/>
      <c r="U38" s="1418">
        <f t="shared" si="27"/>
        <v>2.400000000000001</v>
      </c>
      <c r="V38" s="1419">
        <f t="shared" si="28"/>
        <v>68.03880000000002</v>
      </c>
      <c r="W38" s="264">
        <f t="shared" si="10"/>
        <v>0</v>
      </c>
      <c r="X38" s="60" t="s">
        <v>290</v>
      </c>
      <c r="Y38" s="30">
        <f t="shared" si="11"/>
        <v>310</v>
      </c>
      <c r="Z38" s="30">
        <f t="shared" si="12"/>
        <v>0.62</v>
      </c>
      <c r="AA38" s="30">
        <f t="shared" si="13"/>
        <v>9</v>
      </c>
      <c r="AB38" s="30">
        <f t="shared" si="13"/>
        <v>0</v>
      </c>
      <c r="AC38" s="38">
        <f t="shared" si="14"/>
        <v>0</v>
      </c>
      <c r="AD38" s="32">
        <f t="shared" si="15"/>
        <v>0</v>
      </c>
      <c r="AE38" s="32">
        <f t="shared" si="16"/>
        <v>0</v>
      </c>
      <c r="AF38" s="32">
        <f t="shared" si="17"/>
        <v>0</v>
      </c>
      <c r="AG38" s="39"/>
      <c r="AH38" s="40"/>
      <c r="AI38" s="48">
        <f t="shared" si="18"/>
        <v>0</v>
      </c>
      <c r="AJ38" s="49">
        <f t="shared" si="19"/>
        <v>0</v>
      </c>
      <c r="AK38" s="49">
        <f t="shared" si="20"/>
        <v>0</v>
      </c>
      <c r="AL38" s="49">
        <f t="shared" si="21"/>
        <v>0</v>
      </c>
      <c r="AM38" s="49">
        <f t="shared" si="22"/>
        <v>0</v>
      </c>
      <c r="AN38" s="49">
        <f t="shared" si="23"/>
        <v>0</v>
      </c>
      <c r="AO38" s="49">
        <f t="shared" si="24"/>
        <v>0</v>
      </c>
      <c r="AP38" s="49">
        <f t="shared" si="25"/>
        <v>0</v>
      </c>
      <c r="AQ38" s="49">
        <f t="shared" si="26"/>
        <v>0</v>
      </c>
      <c r="AR38" s="185"/>
    </row>
    <row r="39" spans="1:44" s="1" customFormat="1" ht="15" customHeight="1">
      <c r="A39" s="1789"/>
      <c r="B39" s="1850"/>
      <c r="C39" s="1833" t="str">
        <f t="shared" si="4"/>
        <v>OTHER</v>
      </c>
      <c r="D39" s="2163"/>
      <c r="E39" s="2163"/>
      <c r="F39" s="2123" t="str">
        <f t="shared" si="5"/>
        <v>0g</v>
      </c>
      <c r="G39" s="1835">
        <f t="shared" si="29"/>
        <v>0</v>
      </c>
      <c r="H39" s="2132">
        <f t="shared" si="6"/>
        <v>0</v>
      </c>
      <c r="I39" s="2129" t="s">
        <v>1426</v>
      </c>
      <c r="J39" s="2126">
        <v>7.5</v>
      </c>
      <c r="K39" s="1843"/>
      <c r="L39" s="1844"/>
      <c r="M39" s="1845"/>
      <c r="N39" s="1846">
        <f t="shared" si="7"/>
        <v>0</v>
      </c>
      <c r="O39" s="1846">
        <f t="shared" si="8"/>
        <v>0</v>
      </c>
      <c r="P39" s="1847">
        <f t="shared" si="9"/>
        <v>0</v>
      </c>
      <c r="Q39" s="1848"/>
      <c r="R39" s="1848"/>
      <c r="S39" s="1849"/>
      <c r="T39" s="169"/>
      <c r="U39" s="1418">
        <f t="shared" si="27"/>
        <v>2.500000000000001</v>
      </c>
      <c r="V39" s="1419">
        <f t="shared" si="28"/>
        <v>70.87375000000003</v>
      </c>
      <c r="W39" s="264">
        <f t="shared" si="10"/>
        <v>0</v>
      </c>
      <c r="X39" s="60" t="s">
        <v>290</v>
      </c>
      <c r="Y39" s="30">
        <f t="shared" si="11"/>
        <v>0</v>
      </c>
      <c r="Z39" s="30">
        <f t="shared" si="12"/>
        <v>0</v>
      </c>
      <c r="AA39" s="30">
        <f t="shared" si="13"/>
        <v>0</v>
      </c>
      <c r="AB39" s="30">
        <f t="shared" si="13"/>
        <v>0</v>
      </c>
      <c r="AC39" s="38">
        <f t="shared" si="14"/>
        <v>0</v>
      </c>
      <c r="AD39" s="32">
        <f t="shared" si="15"/>
        <v>0</v>
      </c>
      <c r="AE39" s="32">
        <f t="shared" si="16"/>
        <v>0</v>
      </c>
      <c r="AF39" s="32">
        <f t="shared" si="17"/>
        <v>0</v>
      </c>
      <c r="AG39" s="39"/>
      <c r="AH39" s="40"/>
      <c r="AI39" s="48">
        <f t="shared" si="18"/>
        <v>0</v>
      </c>
      <c r="AJ39" s="49">
        <f t="shared" si="19"/>
        <v>0</v>
      </c>
      <c r="AK39" s="49">
        <f t="shared" si="20"/>
        <v>0</v>
      </c>
      <c r="AL39" s="49">
        <f t="shared" si="21"/>
        <v>0</v>
      </c>
      <c r="AM39" s="49">
        <f t="shared" si="22"/>
        <v>0</v>
      </c>
      <c r="AN39" s="49">
        <f t="shared" si="23"/>
        <v>0</v>
      </c>
      <c r="AO39" s="49">
        <f t="shared" si="24"/>
        <v>0</v>
      </c>
      <c r="AP39" s="49">
        <f t="shared" si="25"/>
        <v>0</v>
      </c>
      <c r="AQ39" s="49">
        <f t="shared" si="26"/>
        <v>0</v>
      </c>
      <c r="AR39" s="185"/>
    </row>
    <row r="40" spans="1:44" s="1" customFormat="1" ht="15" customHeight="1">
      <c r="A40" s="1789"/>
      <c r="B40" s="1829"/>
      <c r="C40" s="1851"/>
      <c r="D40" s="2164"/>
      <c r="E40" s="2165"/>
      <c r="F40" s="2123"/>
      <c r="G40" s="1835"/>
      <c r="H40" s="2132"/>
      <c r="I40" s="2129" t="s">
        <v>422</v>
      </c>
      <c r="J40" s="2126">
        <v>4.5</v>
      </c>
      <c r="K40" s="1843"/>
      <c r="L40" s="1844"/>
      <c r="M40" s="1845"/>
      <c r="N40" s="1846">
        <f t="shared" si="7"/>
        <v>0</v>
      </c>
      <c r="O40" s="1846">
        <f t="shared" si="8"/>
        <v>0</v>
      </c>
      <c r="P40" s="1847">
        <f t="shared" si="9"/>
        <v>0</v>
      </c>
      <c r="Q40" s="1848"/>
      <c r="R40" s="1848"/>
      <c r="S40" s="1849"/>
      <c r="T40" s="169"/>
      <c r="U40" s="1418">
        <f t="shared" si="27"/>
        <v>2.600000000000001</v>
      </c>
      <c r="V40" s="1419">
        <f t="shared" si="28"/>
        <v>73.70870000000002</v>
      </c>
      <c r="W40" s="12"/>
      <c r="X40" s="60"/>
      <c r="Y40" s="5"/>
      <c r="Z40" s="5"/>
      <c r="AA40" s="5"/>
      <c r="AB40" s="5"/>
      <c r="AC40" s="6"/>
      <c r="AD40" s="5"/>
      <c r="AE40" s="5"/>
      <c r="AF40" s="5"/>
      <c r="AG40" s="39"/>
      <c r="AH40" s="40"/>
      <c r="AI40" s="48">
        <f t="shared" si="18"/>
        <v>0</v>
      </c>
      <c r="AJ40" s="49">
        <f t="shared" si="19"/>
        <v>0</v>
      </c>
      <c r="AK40" s="49">
        <f t="shared" si="20"/>
        <v>0</v>
      </c>
      <c r="AL40" s="49">
        <f t="shared" si="21"/>
        <v>0</v>
      </c>
      <c r="AM40" s="49">
        <f t="shared" si="22"/>
        <v>0</v>
      </c>
      <c r="AN40" s="49">
        <f t="shared" si="23"/>
        <v>0</v>
      </c>
      <c r="AO40" s="49">
        <f t="shared" si="24"/>
        <v>0</v>
      </c>
      <c r="AP40" s="49">
        <f t="shared" si="25"/>
        <v>0</v>
      </c>
      <c r="AQ40" s="49">
        <f t="shared" si="26"/>
        <v>0</v>
      </c>
      <c r="AR40" s="185"/>
    </row>
    <row r="41" spans="1:44" s="1" customFormat="1" ht="15" customHeight="1">
      <c r="A41" s="1789"/>
      <c r="B41" s="1829"/>
      <c r="C41" s="1852" t="s">
        <v>471</v>
      </c>
      <c r="D41" s="2164"/>
      <c r="E41" s="2165"/>
      <c r="F41" s="2123"/>
      <c r="G41" s="1835"/>
      <c r="H41" s="2132"/>
      <c r="I41" s="2129" t="s">
        <v>423</v>
      </c>
      <c r="J41" s="2126">
        <v>5.3</v>
      </c>
      <c r="K41" s="1843">
        <v>2</v>
      </c>
      <c r="L41" s="1844"/>
      <c r="M41" s="1845"/>
      <c r="N41" s="1846">
        <f t="shared" si="7"/>
        <v>2</v>
      </c>
      <c r="O41" s="1846">
        <f t="shared" si="8"/>
        <v>0</v>
      </c>
      <c r="P41" s="1847">
        <f t="shared" si="9"/>
        <v>0</v>
      </c>
      <c r="Q41" s="1848"/>
      <c r="R41" s="1848"/>
      <c r="S41" s="1849"/>
      <c r="T41" s="169"/>
      <c r="U41" s="1418">
        <f t="shared" si="27"/>
        <v>2.700000000000001</v>
      </c>
      <c r="V41" s="1419">
        <f t="shared" si="28"/>
        <v>76.54365000000003</v>
      </c>
      <c r="W41" s="488"/>
      <c r="X41" s="60"/>
      <c r="Y41" s="24"/>
      <c r="Z41" s="24"/>
      <c r="AA41" s="24"/>
      <c r="AB41" s="24"/>
      <c r="AC41" s="24"/>
      <c r="AD41" s="24"/>
      <c r="AE41" s="24"/>
      <c r="AF41" s="24"/>
      <c r="AG41" s="39"/>
      <c r="AH41" s="40"/>
      <c r="AI41" s="48">
        <f t="shared" si="18"/>
        <v>10.6</v>
      </c>
      <c r="AJ41" s="49">
        <f t="shared" si="19"/>
        <v>0</v>
      </c>
      <c r="AK41" s="49">
        <f t="shared" si="20"/>
        <v>0</v>
      </c>
      <c r="AL41" s="49">
        <f t="shared" si="21"/>
        <v>10.6</v>
      </c>
      <c r="AM41" s="49">
        <f t="shared" si="22"/>
        <v>0</v>
      </c>
      <c r="AN41" s="49">
        <f t="shared" si="23"/>
        <v>0</v>
      </c>
      <c r="AO41" s="49">
        <f t="shared" si="24"/>
        <v>0</v>
      </c>
      <c r="AP41" s="49">
        <f t="shared" si="25"/>
        <v>0</v>
      </c>
      <c r="AQ41" s="49">
        <f t="shared" si="26"/>
        <v>0</v>
      </c>
      <c r="AR41" s="185"/>
    </row>
    <row r="42" spans="1:44" s="1" customFormat="1" ht="15" customHeight="1">
      <c r="A42" s="1789"/>
      <c r="B42" s="1829"/>
      <c r="C42" s="1833" t="str">
        <f>C120</f>
        <v>Light</v>
      </c>
      <c r="D42" s="2163"/>
      <c r="E42" s="2163"/>
      <c r="F42" s="2123" t="str">
        <f>FIXED(W42,0)&amp;"g"</f>
        <v>0g</v>
      </c>
      <c r="G42" s="1835">
        <f t="shared" si="29"/>
        <v>0</v>
      </c>
      <c r="H42" s="2132">
        <f>IF(AC42=0,0,AC42*100/$AC$78)</f>
        <v>0</v>
      </c>
      <c r="I42" s="2129" t="s">
        <v>1427</v>
      </c>
      <c r="J42" s="2126">
        <v>2</v>
      </c>
      <c r="K42" s="1843"/>
      <c r="L42" s="1844"/>
      <c r="M42" s="1845"/>
      <c r="N42" s="1846">
        <f t="shared" si="7"/>
        <v>0</v>
      </c>
      <c r="O42" s="1846">
        <f t="shared" si="8"/>
        <v>0</v>
      </c>
      <c r="P42" s="1847">
        <f t="shared" si="9"/>
        <v>0</v>
      </c>
      <c r="Q42" s="1848"/>
      <c r="R42" s="1848"/>
      <c r="S42" s="1849"/>
      <c r="T42" s="169"/>
      <c r="U42" s="1418">
        <f t="shared" si="27"/>
        <v>2.800000000000001</v>
      </c>
      <c r="V42" s="1419">
        <f t="shared" si="28"/>
        <v>79.37860000000003</v>
      </c>
      <c r="W42" s="264">
        <f aca="true" t="shared" si="30" ref="W42:W53">453.6*(D42+E42/16)</f>
        <v>0</v>
      </c>
      <c r="X42" s="60" t="s">
        <v>290</v>
      </c>
      <c r="Y42" s="30">
        <f>D120</f>
        <v>310</v>
      </c>
      <c r="Z42" s="30">
        <f>F120</f>
        <v>0.62</v>
      </c>
      <c r="AA42" s="30">
        <f aca="true" t="shared" si="31" ref="AA42:AB45">I120</f>
        <v>10</v>
      </c>
      <c r="AB42" s="30">
        <f t="shared" si="31"/>
        <v>30</v>
      </c>
      <c r="AC42" s="38">
        <f>0.001*W42*Y42</f>
        <v>0</v>
      </c>
      <c r="AD42" s="32">
        <f>AC42*$Z42</f>
        <v>0</v>
      </c>
      <c r="AE42" s="32">
        <f>0.01*W42*AA42</f>
        <v>0</v>
      </c>
      <c r="AF42" s="32">
        <f>0.01*W42*AB42</f>
        <v>0</v>
      </c>
      <c r="AG42" s="39"/>
      <c r="AH42" s="40"/>
      <c r="AI42" s="48">
        <f t="shared" si="18"/>
        <v>0</v>
      </c>
      <c r="AJ42" s="49">
        <f t="shared" si="19"/>
        <v>0</v>
      </c>
      <c r="AK42" s="49">
        <f t="shared" si="20"/>
        <v>0</v>
      </c>
      <c r="AL42" s="49">
        <f t="shared" si="21"/>
        <v>0</v>
      </c>
      <c r="AM42" s="49">
        <f t="shared" si="22"/>
        <v>0</v>
      </c>
      <c r="AN42" s="49">
        <f t="shared" si="23"/>
        <v>0</v>
      </c>
      <c r="AO42" s="49">
        <f t="shared" si="24"/>
        <v>0</v>
      </c>
      <c r="AP42" s="49">
        <f t="shared" si="25"/>
        <v>0</v>
      </c>
      <c r="AQ42" s="49">
        <f t="shared" si="26"/>
        <v>0</v>
      </c>
      <c r="AR42" s="185"/>
    </row>
    <row r="43" spans="1:44" s="1" customFormat="1" ht="15" customHeight="1">
      <c r="A43" s="1789"/>
      <c r="B43" s="1829"/>
      <c r="C43" s="1833" t="str">
        <f>C121</f>
        <v>Amber</v>
      </c>
      <c r="D43" s="2163"/>
      <c r="E43" s="2163"/>
      <c r="F43" s="2123" t="str">
        <f>FIXED(W43,0)&amp;"g"</f>
        <v>0g</v>
      </c>
      <c r="G43" s="1835">
        <f t="shared" si="29"/>
        <v>0</v>
      </c>
      <c r="H43" s="2132">
        <f>IF(AC43=0,0,AC43*100/$AC$78)</f>
        <v>0</v>
      </c>
      <c r="I43" s="2129" t="s">
        <v>1428</v>
      </c>
      <c r="J43" s="2126">
        <v>6.7</v>
      </c>
      <c r="K43" s="1843"/>
      <c r="L43" s="1844"/>
      <c r="M43" s="1845"/>
      <c r="N43" s="1846">
        <f t="shared" si="7"/>
        <v>0</v>
      </c>
      <c r="O43" s="1846">
        <f t="shared" si="8"/>
        <v>0</v>
      </c>
      <c r="P43" s="1847">
        <f t="shared" si="9"/>
        <v>0</v>
      </c>
      <c r="Q43" s="1848"/>
      <c r="R43" s="1848"/>
      <c r="S43" s="1848"/>
      <c r="T43" s="169"/>
      <c r="U43" s="1418">
        <f t="shared" si="27"/>
        <v>2.9000000000000012</v>
      </c>
      <c r="V43" s="1419">
        <f t="shared" si="28"/>
        <v>82.21355000000003</v>
      </c>
      <c r="W43" s="264">
        <f t="shared" si="30"/>
        <v>0</v>
      </c>
      <c r="X43" s="60" t="s">
        <v>290</v>
      </c>
      <c r="Y43" s="30">
        <f>D121</f>
        <v>310</v>
      </c>
      <c r="Z43" s="30">
        <f>F121</f>
        <v>0.62</v>
      </c>
      <c r="AA43" s="30">
        <f t="shared" si="31"/>
        <v>18</v>
      </c>
      <c r="AB43" s="30">
        <f t="shared" si="31"/>
        <v>50</v>
      </c>
      <c r="AC43" s="38">
        <f>0.001*W43*Y43</f>
        <v>0</v>
      </c>
      <c r="AD43" s="32">
        <f>AC43*$Z43</f>
        <v>0</v>
      </c>
      <c r="AE43" s="32">
        <f>0.01*W43*AA43</f>
        <v>0</v>
      </c>
      <c r="AF43" s="32">
        <f>0.01*W43*AB43</f>
        <v>0</v>
      </c>
      <c r="AG43" s="39"/>
      <c r="AH43" s="40"/>
      <c r="AI43" s="48">
        <f t="shared" si="18"/>
        <v>0</v>
      </c>
      <c r="AJ43" s="49">
        <f t="shared" si="19"/>
        <v>0</v>
      </c>
      <c r="AK43" s="49">
        <f t="shared" si="20"/>
        <v>0</v>
      </c>
      <c r="AL43" s="49">
        <f t="shared" si="21"/>
        <v>0</v>
      </c>
      <c r="AM43" s="49">
        <f t="shared" si="22"/>
        <v>0</v>
      </c>
      <c r="AN43" s="49">
        <f t="shared" si="23"/>
        <v>0</v>
      </c>
      <c r="AO43" s="49">
        <f t="shared" si="24"/>
        <v>0</v>
      </c>
      <c r="AP43" s="49">
        <f t="shared" si="25"/>
        <v>0</v>
      </c>
      <c r="AQ43" s="49">
        <f t="shared" si="26"/>
        <v>0</v>
      </c>
      <c r="AR43" s="185"/>
    </row>
    <row r="44" spans="1:44" s="1" customFormat="1" ht="15" customHeight="1">
      <c r="A44" s="1789"/>
      <c r="B44" s="1829"/>
      <c r="C44" s="1833" t="str">
        <f>C122</f>
        <v>Dark</v>
      </c>
      <c r="D44" s="2163"/>
      <c r="E44" s="2163"/>
      <c r="F44" s="2123" t="str">
        <f>FIXED(W44,0)&amp;"g"</f>
        <v>0g</v>
      </c>
      <c r="G44" s="1835">
        <f t="shared" si="29"/>
        <v>0</v>
      </c>
      <c r="H44" s="2132">
        <f>IF(AC44=0,0,AC44*100/$AC$78)</f>
        <v>0</v>
      </c>
      <c r="I44" s="2129" t="s">
        <v>1429</v>
      </c>
      <c r="J44" s="2126">
        <v>13.5</v>
      </c>
      <c r="K44" s="1843"/>
      <c r="L44" s="1844"/>
      <c r="M44" s="1845"/>
      <c r="N44" s="1846">
        <f t="shared" si="7"/>
        <v>0</v>
      </c>
      <c r="O44" s="1846">
        <f t="shared" si="8"/>
        <v>0</v>
      </c>
      <c r="P44" s="1847">
        <f t="shared" si="9"/>
        <v>0</v>
      </c>
      <c r="Q44" s="1848"/>
      <c r="R44" s="1848"/>
      <c r="S44" s="1849"/>
      <c r="T44" s="169"/>
      <c r="U44" s="1418">
        <f t="shared" si="27"/>
        <v>3.0000000000000013</v>
      </c>
      <c r="V44" s="1419">
        <f t="shared" si="28"/>
        <v>85.04850000000003</v>
      </c>
      <c r="W44" s="264">
        <f t="shared" si="30"/>
        <v>0</v>
      </c>
      <c r="X44" s="60" t="s">
        <v>290</v>
      </c>
      <c r="Y44" s="30">
        <f>D122</f>
        <v>310</v>
      </c>
      <c r="Z44" s="30">
        <f>F122</f>
        <v>0.62</v>
      </c>
      <c r="AA44" s="30">
        <f t="shared" si="31"/>
        <v>55</v>
      </c>
      <c r="AB44" s="30">
        <f t="shared" si="31"/>
        <v>50</v>
      </c>
      <c r="AC44" s="38">
        <f>0.001*W44*Y44</f>
        <v>0</v>
      </c>
      <c r="AD44" s="32">
        <f>AC44*$Z44</f>
        <v>0</v>
      </c>
      <c r="AE44" s="32">
        <f>0.01*W44*AA44</f>
        <v>0</v>
      </c>
      <c r="AF44" s="32">
        <f>0.01*W44*AB44</f>
        <v>0</v>
      </c>
      <c r="AG44" s="39"/>
      <c r="AH44" s="7"/>
      <c r="AI44" s="48">
        <f t="shared" si="18"/>
        <v>0</v>
      </c>
      <c r="AJ44" s="49">
        <f t="shared" si="19"/>
        <v>0</v>
      </c>
      <c r="AK44" s="49">
        <f t="shared" si="20"/>
        <v>0</v>
      </c>
      <c r="AL44" s="49">
        <f t="shared" si="21"/>
        <v>0</v>
      </c>
      <c r="AM44" s="49">
        <f t="shared" si="22"/>
        <v>0</v>
      </c>
      <c r="AN44" s="49">
        <f t="shared" si="23"/>
        <v>0</v>
      </c>
      <c r="AO44" s="49">
        <f t="shared" si="24"/>
        <v>0</v>
      </c>
      <c r="AP44" s="49">
        <f t="shared" si="25"/>
        <v>0</v>
      </c>
      <c r="AQ44" s="49">
        <f t="shared" si="26"/>
        <v>0</v>
      </c>
      <c r="AR44" s="185"/>
    </row>
    <row r="45" spans="1:44" s="1" customFormat="1" ht="15" customHeight="1">
      <c r="A45" s="1789"/>
      <c r="B45" s="1850"/>
      <c r="C45" s="1833" t="str">
        <f>C123</f>
        <v>OTHER</v>
      </c>
      <c r="D45" s="2163"/>
      <c r="E45" s="2163"/>
      <c r="F45" s="2123" t="str">
        <f>FIXED(W45,0)&amp;"g"</f>
        <v>0g</v>
      </c>
      <c r="G45" s="1835">
        <f t="shared" si="29"/>
        <v>0</v>
      </c>
      <c r="H45" s="2132">
        <f>IF(AC45=0,0,AC45*100/$AC$78)</f>
        <v>0</v>
      </c>
      <c r="I45" s="2129" t="s">
        <v>424</v>
      </c>
      <c r="J45" s="2126">
        <v>7.5</v>
      </c>
      <c r="K45" s="1843"/>
      <c r="L45" s="1844"/>
      <c r="M45" s="1845"/>
      <c r="N45" s="1846">
        <f t="shared" si="7"/>
        <v>0</v>
      </c>
      <c r="O45" s="1846">
        <f t="shared" si="8"/>
        <v>0</v>
      </c>
      <c r="P45" s="1847">
        <f t="shared" si="9"/>
        <v>0</v>
      </c>
      <c r="Q45" s="1848"/>
      <c r="R45" s="1848"/>
      <c r="S45" s="1849"/>
      <c r="T45" s="169"/>
      <c r="U45" s="1418">
        <f t="shared" si="27"/>
        <v>3.1000000000000014</v>
      </c>
      <c r="V45" s="1419">
        <f t="shared" si="28"/>
        <v>87.88345000000004</v>
      </c>
      <c r="W45" s="264">
        <f t="shared" si="30"/>
        <v>0</v>
      </c>
      <c r="X45" s="60" t="s">
        <v>290</v>
      </c>
      <c r="Y45" s="30">
        <f>D123</f>
        <v>0</v>
      </c>
      <c r="Z45" s="30">
        <f>F123</f>
        <v>0</v>
      </c>
      <c r="AA45" s="30">
        <f t="shared" si="31"/>
        <v>0</v>
      </c>
      <c r="AB45" s="30">
        <f t="shared" si="31"/>
        <v>0</v>
      </c>
      <c r="AC45" s="38">
        <f>0.001*W45*Y45</f>
        <v>0</v>
      </c>
      <c r="AD45" s="32">
        <f>AC45*$Z45</f>
        <v>0</v>
      </c>
      <c r="AE45" s="32">
        <f>0.01*W45*AA45</f>
        <v>0</v>
      </c>
      <c r="AF45" s="32">
        <f>0.01*W45*AB45</f>
        <v>0</v>
      </c>
      <c r="AG45" s="39"/>
      <c r="AH45" s="40"/>
      <c r="AI45" s="48">
        <f t="shared" si="18"/>
        <v>0</v>
      </c>
      <c r="AJ45" s="49">
        <f t="shared" si="19"/>
        <v>0</v>
      </c>
      <c r="AK45" s="49">
        <f t="shared" si="20"/>
        <v>0</v>
      </c>
      <c r="AL45" s="49">
        <f t="shared" si="21"/>
        <v>0</v>
      </c>
      <c r="AM45" s="49">
        <f t="shared" si="22"/>
        <v>0</v>
      </c>
      <c r="AN45" s="49">
        <f t="shared" si="23"/>
        <v>0</v>
      </c>
      <c r="AO45" s="49">
        <f t="shared" si="24"/>
        <v>0</v>
      </c>
      <c r="AP45" s="49">
        <f t="shared" si="25"/>
        <v>0</v>
      </c>
      <c r="AQ45" s="49">
        <f t="shared" si="26"/>
        <v>0</v>
      </c>
      <c r="AR45" s="185"/>
    </row>
    <row r="46" spans="1:44" s="1" customFormat="1" ht="15" customHeight="1">
      <c r="A46" s="1789"/>
      <c r="B46" s="1829"/>
      <c r="C46" s="1853"/>
      <c r="D46" s="2163"/>
      <c r="E46" s="2163"/>
      <c r="F46" s="2123"/>
      <c r="G46" s="1835"/>
      <c r="H46" s="2132"/>
      <c r="I46" s="2129" t="s">
        <v>425</v>
      </c>
      <c r="J46" s="2126">
        <v>9.25</v>
      </c>
      <c r="K46" s="1843"/>
      <c r="L46" s="1844"/>
      <c r="M46" s="1845"/>
      <c r="N46" s="1846">
        <f t="shared" si="7"/>
        <v>0</v>
      </c>
      <c r="O46" s="1846">
        <f t="shared" si="8"/>
        <v>0</v>
      </c>
      <c r="P46" s="1847">
        <f t="shared" si="9"/>
        <v>0</v>
      </c>
      <c r="Q46" s="1848"/>
      <c r="R46" s="1848"/>
      <c r="S46" s="1849"/>
      <c r="T46" s="169"/>
      <c r="U46" s="1418">
        <f t="shared" si="27"/>
        <v>3.2000000000000015</v>
      </c>
      <c r="V46" s="1419">
        <f t="shared" si="28"/>
        <v>90.71840000000005</v>
      </c>
      <c r="W46" s="264">
        <f t="shared" si="30"/>
        <v>0</v>
      </c>
      <c r="X46" s="60"/>
      <c r="AB46" s="7"/>
      <c r="AC46" s="7"/>
      <c r="AD46" s="7"/>
      <c r="AE46" s="7"/>
      <c r="AF46" s="7"/>
      <c r="AG46" s="7"/>
      <c r="AH46" s="5"/>
      <c r="AI46" s="48">
        <f t="shared" si="18"/>
        <v>0</v>
      </c>
      <c r="AJ46" s="49">
        <f t="shared" si="19"/>
        <v>0</v>
      </c>
      <c r="AK46" s="49">
        <f t="shared" si="20"/>
        <v>0</v>
      </c>
      <c r="AL46" s="49">
        <f t="shared" si="21"/>
        <v>0</v>
      </c>
      <c r="AM46" s="49">
        <f t="shared" si="22"/>
        <v>0</v>
      </c>
      <c r="AN46" s="49">
        <f t="shared" si="23"/>
        <v>0</v>
      </c>
      <c r="AO46" s="49">
        <f t="shared" si="24"/>
        <v>0</v>
      </c>
      <c r="AP46" s="49">
        <f t="shared" si="25"/>
        <v>0</v>
      </c>
      <c r="AQ46" s="49">
        <f t="shared" si="26"/>
        <v>0</v>
      </c>
      <c r="AR46" s="185"/>
    </row>
    <row r="47" spans="1:44" s="1" customFormat="1" ht="15" customHeight="1">
      <c r="A47" s="1789"/>
      <c r="B47" s="1829"/>
      <c r="C47" s="1854" t="s">
        <v>472</v>
      </c>
      <c r="D47" s="2163"/>
      <c r="E47" s="2163"/>
      <c r="F47" s="2123"/>
      <c r="G47" s="1835"/>
      <c r="H47" s="2132"/>
      <c r="I47" s="2129" t="s">
        <v>1430</v>
      </c>
      <c r="J47" s="2126">
        <v>6.5</v>
      </c>
      <c r="K47" s="1843"/>
      <c r="L47" s="1844"/>
      <c r="M47" s="1845"/>
      <c r="N47" s="1846">
        <f t="shared" si="7"/>
        <v>0</v>
      </c>
      <c r="O47" s="1846">
        <f t="shared" si="8"/>
        <v>0</v>
      </c>
      <c r="P47" s="1847">
        <f t="shared" si="9"/>
        <v>0</v>
      </c>
      <c r="Q47" s="1848"/>
      <c r="R47" s="1848"/>
      <c r="S47" s="1849"/>
      <c r="T47" s="169"/>
      <c r="U47" s="1418">
        <f t="shared" si="27"/>
        <v>3.3000000000000016</v>
      </c>
      <c r="V47" s="1419">
        <f t="shared" si="28"/>
        <v>93.55335000000004</v>
      </c>
      <c r="W47" s="264">
        <f t="shared" si="30"/>
        <v>0</v>
      </c>
      <c r="X47" s="60"/>
      <c r="Y47" s="5"/>
      <c r="Z47" s="5"/>
      <c r="AA47" s="5"/>
      <c r="AB47" s="5"/>
      <c r="AC47" s="6"/>
      <c r="AD47" s="5"/>
      <c r="AE47" s="5"/>
      <c r="AF47" s="5"/>
      <c r="AG47" s="39"/>
      <c r="AH47" s="5"/>
      <c r="AI47" s="48">
        <f t="shared" si="18"/>
        <v>0</v>
      </c>
      <c r="AJ47" s="49">
        <f t="shared" si="19"/>
        <v>0</v>
      </c>
      <c r="AK47" s="49">
        <f t="shared" si="20"/>
        <v>0</v>
      </c>
      <c r="AL47" s="49">
        <f t="shared" si="21"/>
        <v>0</v>
      </c>
      <c r="AM47" s="49">
        <f t="shared" si="22"/>
        <v>0</v>
      </c>
      <c r="AN47" s="49">
        <f t="shared" si="23"/>
        <v>0</v>
      </c>
      <c r="AO47" s="49">
        <f t="shared" si="24"/>
        <v>0</v>
      </c>
      <c r="AP47" s="49">
        <f t="shared" si="25"/>
        <v>0</v>
      </c>
      <c r="AQ47" s="49">
        <f t="shared" si="26"/>
        <v>0</v>
      </c>
      <c r="AR47" s="185"/>
    </row>
    <row r="48" spans="1:44" s="1" customFormat="1" ht="15" customHeight="1">
      <c r="A48" s="1789"/>
      <c r="B48" s="1829"/>
      <c r="C48" s="1833" t="str">
        <f aca="true" t="shared" si="32" ref="C48:C53">C126</f>
        <v>Extra Light</v>
      </c>
      <c r="D48" s="2163"/>
      <c r="E48" s="2163"/>
      <c r="F48" s="2123" t="str">
        <f aca="true" t="shared" si="33" ref="F48:F53">FIXED(W48,0)&amp;"g"</f>
        <v>0g</v>
      </c>
      <c r="G48" s="1835">
        <f t="shared" si="29"/>
        <v>0</v>
      </c>
      <c r="H48" s="2132">
        <f aca="true" t="shared" si="34" ref="H48:H53">IF(AC48=0,0,AC48*100/$AC$78)</f>
        <v>0</v>
      </c>
      <c r="I48" s="2129" t="s">
        <v>427</v>
      </c>
      <c r="J48" s="2126">
        <v>2.2</v>
      </c>
      <c r="K48" s="1843"/>
      <c r="L48" s="1844"/>
      <c r="M48" s="1845"/>
      <c r="N48" s="1846">
        <f t="shared" si="7"/>
        <v>0</v>
      </c>
      <c r="O48" s="1846">
        <f t="shared" si="8"/>
        <v>0</v>
      </c>
      <c r="P48" s="1847">
        <f t="shared" si="9"/>
        <v>0</v>
      </c>
      <c r="Q48" s="1848"/>
      <c r="R48" s="1848"/>
      <c r="S48" s="1849"/>
      <c r="T48" s="169"/>
      <c r="U48" s="1418">
        <f t="shared" si="27"/>
        <v>3.4000000000000017</v>
      </c>
      <c r="V48" s="1419">
        <f t="shared" si="28"/>
        <v>96.38830000000004</v>
      </c>
      <c r="W48" s="264">
        <f t="shared" si="30"/>
        <v>0</v>
      </c>
      <c r="X48" s="60" t="s">
        <v>290</v>
      </c>
      <c r="Y48" s="30">
        <f aca="true" t="shared" si="35" ref="Y48:Y53">D126</f>
        <v>365</v>
      </c>
      <c r="Z48" s="30">
        <f aca="true" t="shared" si="36" ref="Z48:Z53">F126</f>
        <v>0.62</v>
      </c>
      <c r="AA48" s="30">
        <f aca="true" t="shared" si="37" ref="AA48:AA53">I126</f>
        <v>6</v>
      </c>
      <c r="AB48" s="30">
        <v>0</v>
      </c>
      <c r="AC48" s="38">
        <f aca="true" t="shared" si="38" ref="AC48:AC53">0.001*W48*Y48</f>
        <v>0</v>
      </c>
      <c r="AD48" s="32">
        <f aca="true" t="shared" si="39" ref="AD48:AD53">AC48*$Z48</f>
        <v>0</v>
      </c>
      <c r="AE48" s="32">
        <f aca="true" t="shared" si="40" ref="AE48:AE53">0.01*W48*AA48</f>
        <v>0</v>
      </c>
      <c r="AF48" s="32">
        <f aca="true" t="shared" si="41" ref="AF48:AF53">0.01*W48*AB48</f>
        <v>0</v>
      </c>
      <c r="AG48" s="39"/>
      <c r="AH48" s="5"/>
      <c r="AI48" s="48">
        <f t="shared" si="18"/>
        <v>0</v>
      </c>
      <c r="AJ48" s="49">
        <f t="shared" si="19"/>
        <v>0</v>
      </c>
      <c r="AK48" s="49">
        <f t="shared" si="20"/>
        <v>0</v>
      </c>
      <c r="AL48" s="49">
        <f t="shared" si="21"/>
        <v>0</v>
      </c>
      <c r="AM48" s="49">
        <f t="shared" si="22"/>
        <v>0</v>
      </c>
      <c r="AN48" s="49">
        <f t="shared" si="23"/>
        <v>0</v>
      </c>
      <c r="AO48" s="49">
        <f t="shared" si="24"/>
        <v>0</v>
      </c>
      <c r="AP48" s="49">
        <f t="shared" si="25"/>
        <v>0</v>
      </c>
      <c r="AQ48" s="49">
        <f t="shared" si="26"/>
        <v>0</v>
      </c>
      <c r="AR48" s="185"/>
    </row>
    <row r="49" spans="1:44" s="1" customFormat="1" ht="15" customHeight="1">
      <c r="A49" s="1789"/>
      <c r="B49" s="1829"/>
      <c r="C49" s="1833" t="str">
        <f t="shared" si="32"/>
        <v>Light</v>
      </c>
      <c r="D49" s="2163" t="s">
        <v>1141</v>
      </c>
      <c r="E49" s="2163"/>
      <c r="F49" s="2123" t="str">
        <f t="shared" si="33"/>
        <v>1,814g</v>
      </c>
      <c r="G49" s="1835">
        <f t="shared" si="29"/>
        <v>66.58959537572254</v>
      </c>
      <c r="H49" s="2132">
        <f t="shared" si="34"/>
        <v>76.91252407631987</v>
      </c>
      <c r="I49" s="2129" t="s">
        <v>1431</v>
      </c>
      <c r="J49" s="2126">
        <v>4.7</v>
      </c>
      <c r="K49" s="1843"/>
      <c r="L49" s="1844"/>
      <c r="M49" s="1845"/>
      <c r="N49" s="1846">
        <f t="shared" si="7"/>
        <v>0</v>
      </c>
      <c r="O49" s="1846">
        <f t="shared" si="8"/>
        <v>0</v>
      </c>
      <c r="P49" s="1847">
        <f t="shared" si="9"/>
        <v>0</v>
      </c>
      <c r="Q49" s="1848"/>
      <c r="R49" s="1848"/>
      <c r="S49" s="1849"/>
      <c r="T49" s="169"/>
      <c r="U49" s="1418">
        <f t="shared" si="27"/>
        <v>3.5000000000000018</v>
      </c>
      <c r="V49" s="1419">
        <f t="shared" si="28"/>
        <v>99.22325000000005</v>
      </c>
      <c r="W49" s="264">
        <f t="shared" si="30"/>
        <v>1814.4</v>
      </c>
      <c r="X49" s="60" t="s">
        <v>290</v>
      </c>
      <c r="Y49" s="30">
        <f t="shared" si="35"/>
        <v>365</v>
      </c>
      <c r="Z49" s="30">
        <f t="shared" si="36"/>
        <v>0.62</v>
      </c>
      <c r="AA49" s="30">
        <f t="shared" si="37"/>
        <v>9.5</v>
      </c>
      <c r="AB49" s="30">
        <v>0</v>
      </c>
      <c r="AC49" s="38">
        <f t="shared" si="38"/>
        <v>662.2560000000001</v>
      </c>
      <c r="AD49" s="32">
        <f t="shared" si="39"/>
        <v>410.59872000000007</v>
      </c>
      <c r="AE49" s="32">
        <f t="shared" si="40"/>
        <v>172.36800000000002</v>
      </c>
      <c r="AF49" s="32">
        <f t="shared" si="41"/>
        <v>0</v>
      </c>
      <c r="AG49" s="39"/>
      <c r="AH49" s="5"/>
      <c r="AI49" s="48">
        <f t="shared" si="18"/>
        <v>0</v>
      </c>
      <c r="AJ49" s="49">
        <f t="shared" si="19"/>
        <v>0</v>
      </c>
      <c r="AK49" s="49">
        <f t="shared" si="20"/>
        <v>0</v>
      </c>
      <c r="AL49" s="49">
        <f t="shared" si="21"/>
        <v>0</v>
      </c>
      <c r="AM49" s="49">
        <f t="shared" si="22"/>
        <v>0</v>
      </c>
      <c r="AN49" s="49">
        <f t="shared" si="23"/>
        <v>0</v>
      </c>
      <c r="AO49" s="49">
        <f t="shared" si="24"/>
        <v>0</v>
      </c>
      <c r="AP49" s="49">
        <f t="shared" si="25"/>
        <v>0</v>
      </c>
      <c r="AQ49" s="49">
        <f t="shared" si="26"/>
        <v>0</v>
      </c>
      <c r="AR49" s="185"/>
    </row>
    <row r="50" spans="1:44" s="1" customFormat="1" ht="15" customHeight="1">
      <c r="A50" s="1789"/>
      <c r="B50" s="1829"/>
      <c r="C50" s="1833" t="str">
        <f t="shared" si="32"/>
        <v>Medium</v>
      </c>
      <c r="D50" s="2163"/>
      <c r="E50" s="2163"/>
      <c r="F50" s="2123" t="str">
        <f t="shared" si="33"/>
        <v>0g</v>
      </c>
      <c r="G50" s="1835">
        <f t="shared" si="29"/>
        <v>0</v>
      </c>
      <c r="H50" s="2132">
        <f t="shared" si="34"/>
        <v>0</v>
      </c>
      <c r="I50" s="2129" t="s">
        <v>428</v>
      </c>
      <c r="J50" s="2126">
        <v>4.5</v>
      </c>
      <c r="K50" s="1843"/>
      <c r="L50" s="1844"/>
      <c r="M50" s="1845"/>
      <c r="N50" s="1846">
        <f t="shared" si="7"/>
        <v>0</v>
      </c>
      <c r="O50" s="1846">
        <f t="shared" si="8"/>
        <v>0</v>
      </c>
      <c r="P50" s="1847">
        <f t="shared" si="9"/>
        <v>0</v>
      </c>
      <c r="Q50" s="1848"/>
      <c r="R50" s="1855"/>
      <c r="S50" s="1856"/>
      <c r="T50" s="169"/>
      <c r="U50" s="1418">
        <f t="shared" si="27"/>
        <v>3.600000000000002</v>
      </c>
      <c r="V50" s="1420">
        <f t="shared" si="28"/>
        <v>102.05820000000006</v>
      </c>
      <c r="W50" s="264">
        <f t="shared" si="30"/>
        <v>0</v>
      </c>
      <c r="X50" s="60" t="s">
        <v>290</v>
      </c>
      <c r="Y50" s="30">
        <f t="shared" si="35"/>
        <v>365</v>
      </c>
      <c r="Z50" s="30">
        <f t="shared" si="36"/>
        <v>0.62</v>
      </c>
      <c r="AA50" s="30">
        <f t="shared" si="37"/>
        <v>34</v>
      </c>
      <c r="AB50" s="30">
        <v>0</v>
      </c>
      <c r="AC50" s="38">
        <f t="shared" si="38"/>
        <v>0</v>
      </c>
      <c r="AD50" s="32">
        <f t="shared" si="39"/>
        <v>0</v>
      </c>
      <c r="AE50" s="32">
        <f t="shared" si="40"/>
        <v>0</v>
      </c>
      <c r="AF50" s="32">
        <f t="shared" si="41"/>
        <v>0</v>
      </c>
      <c r="AG50" s="39"/>
      <c r="AH50" s="5"/>
      <c r="AI50" s="48">
        <f t="shared" si="18"/>
        <v>0</v>
      </c>
      <c r="AJ50" s="49">
        <f t="shared" si="19"/>
        <v>0</v>
      </c>
      <c r="AK50" s="49">
        <f t="shared" si="20"/>
        <v>0</v>
      </c>
      <c r="AL50" s="49">
        <f t="shared" si="21"/>
        <v>0</v>
      </c>
      <c r="AM50" s="49">
        <f t="shared" si="22"/>
        <v>0</v>
      </c>
      <c r="AN50" s="49">
        <f t="shared" si="23"/>
        <v>0</v>
      </c>
      <c r="AO50" s="49">
        <f t="shared" si="24"/>
        <v>0</v>
      </c>
      <c r="AP50" s="49">
        <f t="shared" si="25"/>
        <v>0</v>
      </c>
      <c r="AQ50" s="49">
        <f t="shared" si="26"/>
        <v>0</v>
      </c>
      <c r="AR50" s="185"/>
    </row>
    <row r="51" spans="1:44" s="1" customFormat="1" ht="15" customHeight="1">
      <c r="A51" s="1789"/>
      <c r="B51" s="1829"/>
      <c r="C51" s="1833" t="str">
        <f t="shared" si="32"/>
        <v>Dark</v>
      </c>
      <c r="D51" s="2163"/>
      <c r="E51" s="2163"/>
      <c r="F51" s="2123" t="str">
        <f t="shared" si="33"/>
        <v>0g</v>
      </c>
      <c r="G51" s="1835">
        <f t="shared" si="29"/>
        <v>0</v>
      </c>
      <c r="H51" s="2132">
        <f t="shared" si="34"/>
        <v>0</v>
      </c>
      <c r="I51" s="2129" t="s">
        <v>430</v>
      </c>
      <c r="J51" s="2126">
        <v>11.2</v>
      </c>
      <c r="K51" s="1843"/>
      <c r="L51" s="1844"/>
      <c r="M51" s="1845"/>
      <c r="N51" s="1846">
        <f aca="true" t="shared" si="42" ref="N51:N58">K51</f>
        <v>0</v>
      </c>
      <c r="O51" s="1846">
        <f aca="true" t="shared" si="43" ref="O51:O58">L51</f>
        <v>0</v>
      </c>
      <c r="P51" s="1847">
        <f aca="true" t="shared" si="44" ref="P51:P58">M51</f>
        <v>0</v>
      </c>
      <c r="Q51" s="1848"/>
      <c r="R51" s="1855"/>
      <c r="S51" s="1856"/>
      <c r="T51" s="169"/>
      <c r="U51" s="1418">
        <f t="shared" si="27"/>
        <v>3.700000000000002</v>
      </c>
      <c r="V51" s="1420">
        <f t="shared" si="28"/>
        <v>104.89315000000005</v>
      </c>
      <c r="W51" s="264">
        <f t="shared" si="30"/>
        <v>0</v>
      </c>
      <c r="X51" s="60" t="s">
        <v>290</v>
      </c>
      <c r="Y51" s="30">
        <f t="shared" si="35"/>
        <v>365</v>
      </c>
      <c r="Z51" s="30">
        <f t="shared" si="36"/>
        <v>0.62</v>
      </c>
      <c r="AA51" s="30">
        <f t="shared" si="37"/>
        <v>57</v>
      </c>
      <c r="AB51" s="30">
        <v>0</v>
      </c>
      <c r="AC51" s="38">
        <f t="shared" si="38"/>
        <v>0</v>
      </c>
      <c r="AD51" s="32">
        <f t="shared" si="39"/>
        <v>0</v>
      </c>
      <c r="AE51" s="32">
        <f t="shared" si="40"/>
        <v>0</v>
      </c>
      <c r="AF51" s="32">
        <f t="shared" si="41"/>
        <v>0</v>
      </c>
      <c r="AG51" s="39"/>
      <c r="AI51" s="48">
        <f aca="true" t="shared" si="45" ref="AI51:AI58">$J51*K51</f>
        <v>0</v>
      </c>
      <c r="AJ51" s="49">
        <f aca="true" t="shared" si="46" ref="AJ51:AJ58">$J51*L51</f>
        <v>0</v>
      </c>
      <c r="AK51" s="49">
        <f aca="true" t="shared" si="47" ref="AK51:AK58">$J51*M51</f>
        <v>0</v>
      </c>
      <c r="AL51" s="49">
        <f aca="true" t="shared" si="48" ref="AL51:AL58">$J51*N51</f>
        <v>0</v>
      </c>
      <c r="AM51" s="49">
        <f aca="true" t="shared" si="49" ref="AM51:AM58">$J51*O51</f>
        <v>0</v>
      </c>
      <c r="AN51" s="49">
        <f aca="true" t="shared" si="50" ref="AN51:AN58">$J51*P51</f>
        <v>0</v>
      </c>
      <c r="AO51" s="49">
        <f aca="true" t="shared" si="51" ref="AO51:AO58">$J51*Q51</f>
        <v>0</v>
      </c>
      <c r="AP51" s="49">
        <f aca="true" t="shared" si="52" ref="AP51:AP58">$J51*R51</f>
        <v>0</v>
      </c>
      <c r="AQ51" s="49">
        <f aca="true" t="shared" si="53" ref="AQ51:AQ58">$J51*S51</f>
        <v>0</v>
      </c>
      <c r="AR51" s="185"/>
    </row>
    <row r="52" spans="1:44" s="1" customFormat="1" ht="15" customHeight="1">
      <c r="A52" s="1789"/>
      <c r="B52" s="1829"/>
      <c r="C52" s="1833" t="str">
        <f t="shared" si="32"/>
        <v>Wheat (55%)</v>
      </c>
      <c r="D52" s="2163"/>
      <c r="E52" s="2163"/>
      <c r="F52" s="2123" t="str">
        <f t="shared" si="33"/>
        <v>0g</v>
      </c>
      <c r="G52" s="1835">
        <f t="shared" si="29"/>
        <v>0</v>
      </c>
      <c r="H52" s="2132">
        <f t="shared" si="34"/>
        <v>0</v>
      </c>
      <c r="I52" s="2129" t="s">
        <v>431</v>
      </c>
      <c r="J52" s="2126">
        <v>5</v>
      </c>
      <c r="K52" s="1843"/>
      <c r="L52" s="1844"/>
      <c r="M52" s="1845"/>
      <c r="N52" s="1846">
        <f t="shared" si="42"/>
        <v>0</v>
      </c>
      <c r="O52" s="1846">
        <f t="shared" si="43"/>
        <v>0</v>
      </c>
      <c r="P52" s="1847">
        <f t="shared" si="44"/>
        <v>0</v>
      </c>
      <c r="Q52" s="1848"/>
      <c r="R52" s="1855"/>
      <c r="S52" s="1856"/>
      <c r="T52" s="169"/>
      <c r="U52" s="1418">
        <f t="shared" si="27"/>
        <v>3.800000000000002</v>
      </c>
      <c r="V52" s="1420">
        <f t="shared" si="28"/>
        <v>107.72810000000005</v>
      </c>
      <c r="W52" s="264">
        <f t="shared" si="30"/>
        <v>0</v>
      </c>
      <c r="X52" s="60" t="s">
        <v>290</v>
      </c>
      <c r="Y52" s="30">
        <f t="shared" si="35"/>
        <v>365</v>
      </c>
      <c r="Z52" s="30">
        <f t="shared" si="36"/>
        <v>0.62</v>
      </c>
      <c r="AA52" s="30">
        <f t="shared" si="37"/>
        <v>10</v>
      </c>
      <c r="AB52" s="30">
        <v>0</v>
      </c>
      <c r="AC52" s="38">
        <f t="shared" si="38"/>
        <v>0</v>
      </c>
      <c r="AD52" s="32">
        <f t="shared" si="39"/>
        <v>0</v>
      </c>
      <c r="AE52" s="32">
        <f t="shared" si="40"/>
        <v>0</v>
      </c>
      <c r="AF52" s="32">
        <f t="shared" si="41"/>
        <v>0</v>
      </c>
      <c r="AG52" s="39"/>
      <c r="AI52" s="48">
        <f t="shared" si="45"/>
        <v>0</v>
      </c>
      <c r="AJ52" s="49">
        <f t="shared" si="46"/>
        <v>0</v>
      </c>
      <c r="AK52" s="49">
        <f t="shared" si="47"/>
        <v>0</v>
      </c>
      <c r="AL52" s="49">
        <f t="shared" si="48"/>
        <v>0</v>
      </c>
      <c r="AM52" s="49">
        <f t="shared" si="49"/>
        <v>0</v>
      </c>
      <c r="AN52" s="49">
        <f t="shared" si="50"/>
        <v>0</v>
      </c>
      <c r="AO52" s="49">
        <f t="shared" si="51"/>
        <v>0</v>
      </c>
      <c r="AP52" s="49">
        <f t="shared" si="52"/>
        <v>0</v>
      </c>
      <c r="AQ52" s="49">
        <f t="shared" si="53"/>
        <v>0</v>
      </c>
      <c r="AR52" s="185"/>
    </row>
    <row r="53" spans="1:44" s="1" customFormat="1" ht="15" customHeight="1">
      <c r="A53" s="1789"/>
      <c r="B53" s="1829"/>
      <c r="C53" s="1833" t="str">
        <f t="shared" si="32"/>
        <v>OTHER</v>
      </c>
      <c r="D53" s="2163"/>
      <c r="E53" s="2163"/>
      <c r="F53" s="2123" t="str">
        <f t="shared" si="33"/>
        <v>0g</v>
      </c>
      <c r="G53" s="1835">
        <f t="shared" si="29"/>
        <v>0</v>
      </c>
      <c r="H53" s="2132">
        <f t="shared" si="34"/>
        <v>0</v>
      </c>
      <c r="I53" s="2129" t="s">
        <v>432</v>
      </c>
      <c r="J53" s="2126">
        <v>6.3</v>
      </c>
      <c r="K53" s="1843"/>
      <c r="L53" s="1844"/>
      <c r="M53" s="1845"/>
      <c r="N53" s="1846">
        <f t="shared" si="42"/>
        <v>0</v>
      </c>
      <c r="O53" s="1846">
        <f t="shared" si="43"/>
        <v>0</v>
      </c>
      <c r="P53" s="1847">
        <f t="shared" si="44"/>
        <v>0</v>
      </c>
      <c r="Q53" s="1848"/>
      <c r="R53" s="1855"/>
      <c r="S53" s="1856"/>
      <c r="T53" s="169"/>
      <c r="U53" s="1418">
        <f t="shared" si="27"/>
        <v>3.900000000000002</v>
      </c>
      <c r="V53" s="1420">
        <f t="shared" si="28"/>
        <v>110.56305000000006</v>
      </c>
      <c r="W53" s="264">
        <f t="shared" si="30"/>
        <v>0</v>
      </c>
      <c r="X53" s="60" t="s">
        <v>290</v>
      </c>
      <c r="Y53" s="30">
        <f t="shared" si="35"/>
        <v>0</v>
      </c>
      <c r="Z53" s="30">
        <f t="shared" si="36"/>
        <v>0</v>
      </c>
      <c r="AA53" s="30">
        <f t="shared" si="37"/>
        <v>0</v>
      </c>
      <c r="AB53" s="30">
        <v>0</v>
      </c>
      <c r="AC53" s="38">
        <f t="shared" si="38"/>
        <v>0</v>
      </c>
      <c r="AD53" s="32">
        <f t="shared" si="39"/>
        <v>0</v>
      </c>
      <c r="AE53" s="32">
        <f t="shared" si="40"/>
        <v>0</v>
      </c>
      <c r="AF53" s="32">
        <f t="shared" si="41"/>
        <v>0</v>
      </c>
      <c r="AG53" s="39"/>
      <c r="AH53" s="40"/>
      <c r="AI53" s="48">
        <f t="shared" si="45"/>
        <v>0</v>
      </c>
      <c r="AJ53" s="49">
        <f t="shared" si="46"/>
        <v>0</v>
      </c>
      <c r="AK53" s="49">
        <f t="shared" si="47"/>
        <v>0</v>
      </c>
      <c r="AL53" s="49">
        <f t="shared" si="48"/>
        <v>0</v>
      </c>
      <c r="AM53" s="49">
        <f t="shared" si="49"/>
        <v>0</v>
      </c>
      <c r="AN53" s="49">
        <f t="shared" si="50"/>
        <v>0</v>
      </c>
      <c r="AO53" s="49">
        <f t="shared" si="51"/>
        <v>0</v>
      </c>
      <c r="AP53" s="49">
        <f t="shared" si="52"/>
        <v>0</v>
      </c>
      <c r="AQ53" s="49">
        <f t="shared" si="53"/>
        <v>0</v>
      </c>
      <c r="AR53" s="185"/>
    </row>
    <row r="54" spans="1:44" s="1" customFormat="1" ht="15" customHeight="1" hidden="1">
      <c r="A54" s="1857" t="s">
        <v>429</v>
      </c>
      <c r="B54" s="2133"/>
      <c r="C54" s="2124"/>
      <c r="D54" s="2166"/>
      <c r="E54" s="2166"/>
      <c r="F54" s="2124"/>
      <c r="G54" s="1835">
        <f t="shared" si="29"/>
        <v>0</v>
      </c>
      <c r="H54" s="2094"/>
      <c r="I54" s="2130"/>
      <c r="J54" s="2127"/>
      <c r="K54" s="1843"/>
      <c r="L54" s="1844"/>
      <c r="M54" s="1845"/>
      <c r="N54" s="1846">
        <f t="shared" si="42"/>
        <v>0</v>
      </c>
      <c r="O54" s="1846">
        <f t="shared" si="43"/>
        <v>0</v>
      </c>
      <c r="P54" s="1847">
        <f t="shared" si="44"/>
        <v>0</v>
      </c>
      <c r="Q54" s="1848"/>
      <c r="R54" s="1855"/>
      <c r="S54" s="1856"/>
      <c r="T54" s="169"/>
      <c r="U54" s="1418">
        <f t="shared" si="27"/>
        <v>4.000000000000002</v>
      </c>
      <c r="V54" s="1420">
        <f t="shared" si="28"/>
        <v>113.39800000000005</v>
      </c>
      <c r="W54" s="54"/>
      <c r="X54" s="54"/>
      <c r="Y54" s="54"/>
      <c r="Z54" s="54"/>
      <c r="AA54" s="54"/>
      <c r="AB54" s="54"/>
      <c r="AC54" s="54"/>
      <c r="AD54" s="54"/>
      <c r="AE54" s="54"/>
      <c r="AF54" s="54"/>
      <c r="AG54" s="54"/>
      <c r="AH54" s="54"/>
      <c r="AI54" s="48">
        <f t="shared" si="45"/>
        <v>0</v>
      </c>
      <c r="AJ54" s="49">
        <f t="shared" si="46"/>
        <v>0</v>
      </c>
      <c r="AK54" s="49">
        <f t="shared" si="47"/>
        <v>0</v>
      </c>
      <c r="AL54" s="49">
        <f t="shared" si="48"/>
        <v>0</v>
      </c>
      <c r="AM54" s="49">
        <f t="shared" si="49"/>
        <v>0</v>
      </c>
      <c r="AN54" s="49">
        <f t="shared" si="50"/>
        <v>0</v>
      </c>
      <c r="AO54" s="49">
        <f t="shared" si="51"/>
        <v>0</v>
      </c>
      <c r="AP54" s="49">
        <f t="shared" si="52"/>
        <v>0</v>
      </c>
      <c r="AQ54" s="49">
        <f t="shared" si="53"/>
        <v>0</v>
      </c>
      <c r="AR54" s="185"/>
    </row>
    <row r="55" spans="1:44" s="1" customFormat="1" ht="15" customHeight="1">
      <c r="A55" s="1789"/>
      <c r="B55" s="1858"/>
      <c r="C55" s="1859"/>
      <c r="D55" s="2167"/>
      <c r="E55" s="2167"/>
      <c r="F55" s="1859"/>
      <c r="G55" s="1835"/>
      <c r="H55" s="1860"/>
      <c r="I55" s="2129" t="s">
        <v>433</v>
      </c>
      <c r="J55" s="2126"/>
      <c r="K55" s="1843"/>
      <c r="L55" s="1844"/>
      <c r="M55" s="1845"/>
      <c r="N55" s="1846">
        <f t="shared" si="42"/>
        <v>0</v>
      </c>
      <c r="O55" s="1846">
        <f t="shared" si="43"/>
        <v>0</v>
      </c>
      <c r="P55" s="1847">
        <f t="shared" si="44"/>
        <v>0</v>
      </c>
      <c r="Q55" s="1848"/>
      <c r="R55" s="1855"/>
      <c r="S55" s="1856"/>
      <c r="T55" s="169"/>
      <c r="U55" s="1418">
        <f>U53+0.1</f>
        <v>4.000000000000002</v>
      </c>
      <c r="V55" s="1420">
        <f t="shared" si="28"/>
        <v>113.39800000000005</v>
      </c>
      <c r="AI55" s="48">
        <f t="shared" si="45"/>
        <v>0</v>
      </c>
      <c r="AJ55" s="49">
        <f t="shared" si="46"/>
        <v>0</v>
      </c>
      <c r="AK55" s="49">
        <f t="shared" si="47"/>
        <v>0</v>
      </c>
      <c r="AL55" s="49">
        <f t="shared" si="48"/>
        <v>0</v>
      </c>
      <c r="AM55" s="49">
        <f t="shared" si="49"/>
        <v>0</v>
      </c>
      <c r="AN55" s="49">
        <f t="shared" si="50"/>
        <v>0</v>
      </c>
      <c r="AO55" s="49">
        <f t="shared" si="51"/>
        <v>0</v>
      </c>
      <c r="AP55" s="49">
        <f t="shared" si="52"/>
        <v>0</v>
      </c>
      <c r="AQ55" s="49">
        <f t="shared" si="53"/>
        <v>0</v>
      </c>
      <c r="AR55" s="185"/>
    </row>
    <row r="56" spans="1:44" s="1" customFormat="1" ht="15" customHeight="1">
      <c r="A56" s="1789"/>
      <c r="B56" s="1829"/>
      <c r="C56" s="1861" t="s">
        <v>474</v>
      </c>
      <c r="D56" s="2163"/>
      <c r="E56" s="2163"/>
      <c r="F56" s="2123" t="str">
        <f>FIXED(W56,0)&amp;"g"</f>
        <v>0g</v>
      </c>
      <c r="G56" s="1835">
        <f t="shared" si="29"/>
        <v>0</v>
      </c>
      <c r="H56" s="2134"/>
      <c r="I56" s="2129" t="s">
        <v>434</v>
      </c>
      <c r="J56" s="2126"/>
      <c r="K56" s="1843"/>
      <c r="L56" s="1844"/>
      <c r="M56" s="1845"/>
      <c r="N56" s="1846">
        <f t="shared" si="42"/>
        <v>0</v>
      </c>
      <c r="O56" s="1846">
        <f t="shared" si="43"/>
        <v>0</v>
      </c>
      <c r="P56" s="1847">
        <f t="shared" si="44"/>
        <v>0</v>
      </c>
      <c r="Q56" s="1848"/>
      <c r="R56" s="1855"/>
      <c r="S56" s="1856"/>
      <c r="T56" s="169"/>
      <c r="U56" s="1418">
        <f t="shared" si="27"/>
        <v>4.100000000000001</v>
      </c>
      <c r="V56" s="1420">
        <f t="shared" si="28"/>
        <v>116.23295000000003</v>
      </c>
      <c r="W56" s="264">
        <f>453.6*(D56+E56/16)</f>
        <v>0</v>
      </c>
      <c r="X56" s="60" t="s">
        <v>290</v>
      </c>
      <c r="Y56" s="5"/>
      <c r="Z56" s="5"/>
      <c r="AA56" s="5"/>
      <c r="AB56" s="5"/>
      <c r="AC56" s="6"/>
      <c r="AD56" s="5"/>
      <c r="AE56" s="5"/>
      <c r="AF56" s="5"/>
      <c r="AG56" s="39"/>
      <c r="AH56" s="40"/>
      <c r="AI56" s="48">
        <f t="shared" si="45"/>
        <v>0</v>
      </c>
      <c r="AJ56" s="49">
        <f t="shared" si="46"/>
        <v>0</v>
      </c>
      <c r="AK56" s="49">
        <f t="shared" si="47"/>
        <v>0</v>
      </c>
      <c r="AL56" s="49">
        <f t="shared" si="48"/>
        <v>0</v>
      </c>
      <c r="AM56" s="49">
        <f t="shared" si="49"/>
        <v>0</v>
      </c>
      <c r="AN56" s="49">
        <f t="shared" si="50"/>
        <v>0</v>
      </c>
      <c r="AO56" s="49">
        <f t="shared" si="51"/>
        <v>0</v>
      </c>
      <c r="AP56" s="49">
        <f t="shared" si="52"/>
        <v>0</v>
      </c>
      <c r="AQ56" s="49">
        <f t="shared" si="53"/>
        <v>0</v>
      </c>
      <c r="AR56" s="185"/>
    </row>
    <row r="57" spans="1:44" s="1" customFormat="1" ht="15" customHeight="1">
      <c r="A57" s="1789"/>
      <c r="B57" s="1829"/>
      <c r="C57" s="1833" t="str">
        <f>C134</f>
        <v>Light</v>
      </c>
      <c r="D57" s="2163"/>
      <c r="E57" s="2163"/>
      <c r="F57" s="2123" t="str">
        <f>FIXED(W57,0)&amp;"g"</f>
        <v>0g</v>
      </c>
      <c r="G57" s="1835">
        <f t="shared" si="29"/>
        <v>0</v>
      </c>
      <c r="H57" s="2132">
        <f>IF(AC57=0,0,AC57*100/$AC$78)</f>
        <v>0</v>
      </c>
      <c r="I57" s="2129" t="s">
        <v>50</v>
      </c>
      <c r="J57" s="2126"/>
      <c r="K57" s="1843"/>
      <c r="L57" s="1844"/>
      <c r="M57" s="1845"/>
      <c r="N57" s="1846">
        <f t="shared" si="42"/>
        <v>0</v>
      </c>
      <c r="O57" s="1846">
        <f t="shared" si="43"/>
        <v>0</v>
      </c>
      <c r="P57" s="1847">
        <f t="shared" si="44"/>
        <v>0</v>
      </c>
      <c r="Q57" s="1848"/>
      <c r="R57" s="1855"/>
      <c r="S57" s="1856"/>
      <c r="T57" s="169"/>
      <c r="U57" s="1418">
        <f t="shared" si="27"/>
        <v>4.200000000000001</v>
      </c>
      <c r="V57" s="1420">
        <f t="shared" si="28"/>
        <v>119.06790000000002</v>
      </c>
      <c r="W57" s="264">
        <f>453.6*(D57+E57/16)</f>
        <v>0</v>
      </c>
      <c r="X57" s="60" t="s">
        <v>290</v>
      </c>
      <c r="Y57" s="30">
        <f>D134</f>
        <v>365</v>
      </c>
      <c r="Z57" s="30">
        <f>F134</f>
        <v>0.62</v>
      </c>
      <c r="AA57" s="30">
        <f>I134</f>
        <v>9.5</v>
      </c>
      <c r="AB57" s="30">
        <f>J134</f>
        <v>36</v>
      </c>
      <c r="AC57" s="38">
        <f>0.001*W57*Y57</f>
        <v>0</v>
      </c>
      <c r="AD57" s="32">
        <f>AC57*$Z57</f>
        <v>0</v>
      </c>
      <c r="AE57" s="32">
        <f>0.01*W57*AA57</f>
        <v>0</v>
      </c>
      <c r="AF57" s="32">
        <f>0.01*W57*AB57</f>
        <v>0</v>
      </c>
      <c r="AG57" s="39"/>
      <c r="AH57" s="40"/>
      <c r="AI57" s="48">
        <f t="shared" si="45"/>
        <v>0</v>
      </c>
      <c r="AJ57" s="49">
        <f t="shared" si="46"/>
        <v>0</v>
      </c>
      <c r="AK57" s="49">
        <f t="shared" si="47"/>
        <v>0</v>
      </c>
      <c r="AL57" s="49">
        <f t="shared" si="48"/>
        <v>0</v>
      </c>
      <c r="AM57" s="49">
        <f t="shared" si="49"/>
        <v>0</v>
      </c>
      <c r="AN57" s="49">
        <f t="shared" si="50"/>
        <v>0</v>
      </c>
      <c r="AO57" s="49">
        <f t="shared" si="51"/>
        <v>0</v>
      </c>
      <c r="AP57" s="49">
        <f t="shared" si="52"/>
        <v>0</v>
      </c>
      <c r="AQ57" s="49">
        <f t="shared" si="53"/>
        <v>0</v>
      </c>
      <c r="AR57" s="185"/>
    </row>
    <row r="58" spans="1:44" s="1" customFormat="1" ht="15" customHeight="1">
      <c r="A58" s="1789"/>
      <c r="B58" s="1829"/>
      <c r="C58" s="1833" t="str">
        <f>C135</f>
        <v>OTHER</v>
      </c>
      <c r="D58" s="2163"/>
      <c r="E58" s="2163"/>
      <c r="F58" s="2123" t="str">
        <f>FIXED(W58,0)&amp;"g"</f>
        <v>0g</v>
      </c>
      <c r="G58" s="1835">
        <f t="shared" si="29"/>
        <v>0</v>
      </c>
      <c r="H58" s="2132">
        <f>IF(AC58=0,0,AC58*100/$AC$78)</f>
        <v>0</v>
      </c>
      <c r="I58" s="2129" t="s">
        <v>1432</v>
      </c>
      <c r="J58" s="2126"/>
      <c r="K58" s="1843"/>
      <c r="L58" s="1862"/>
      <c r="M58" s="1863"/>
      <c r="N58" s="1864">
        <f t="shared" si="42"/>
        <v>0</v>
      </c>
      <c r="O58" s="1864">
        <f t="shared" si="43"/>
        <v>0</v>
      </c>
      <c r="P58" s="1865">
        <f t="shared" si="44"/>
        <v>0</v>
      </c>
      <c r="Q58" s="1866"/>
      <c r="R58" s="1867"/>
      <c r="S58" s="1868"/>
      <c r="T58" s="169"/>
      <c r="U58" s="1418">
        <f t="shared" si="27"/>
        <v>4.300000000000001</v>
      </c>
      <c r="V58" s="1420">
        <f t="shared" si="28"/>
        <v>121.90285000000002</v>
      </c>
      <c r="W58" s="264">
        <f>453.6*(D58+E58/16)</f>
        <v>0</v>
      </c>
      <c r="X58" s="60" t="s">
        <v>290</v>
      </c>
      <c r="Y58" s="30">
        <f>D135</f>
        <v>0</v>
      </c>
      <c r="Z58" s="30">
        <f>F135</f>
        <v>0</v>
      </c>
      <c r="AA58" s="30">
        <f>I135</f>
        <v>0</v>
      </c>
      <c r="AB58" s="30">
        <f>J135</f>
        <v>0</v>
      </c>
      <c r="AC58" s="38">
        <f>0.001*W58*Y58</f>
        <v>0</v>
      </c>
      <c r="AD58" s="32">
        <f>AC58*$Z58</f>
        <v>0</v>
      </c>
      <c r="AE58" s="32">
        <f>0.01*W58*AA58</f>
        <v>0</v>
      </c>
      <c r="AF58" s="32">
        <f>0.01*W58*AB58</f>
        <v>0</v>
      </c>
      <c r="AG58" s="39"/>
      <c r="AH58" s="40"/>
      <c r="AI58" s="48">
        <f t="shared" si="45"/>
        <v>0</v>
      </c>
      <c r="AJ58" s="49">
        <f t="shared" si="46"/>
        <v>0</v>
      </c>
      <c r="AK58" s="49">
        <f t="shared" si="47"/>
        <v>0</v>
      </c>
      <c r="AL58" s="49">
        <f t="shared" si="48"/>
        <v>0</v>
      </c>
      <c r="AM58" s="49">
        <f t="shared" si="49"/>
        <v>0</v>
      </c>
      <c r="AN58" s="49">
        <f t="shared" si="50"/>
        <v>0</v>
      </c>
      <c r="AO58" s="49">
        <f t="shared" si="51"/>
        <v>0</v>
      </c>
      <c r="AP58" s="49">
        <f t="shared" si="52"/>
        <v>0</v>
      </c>
      <c r="AQ58" s="49">
        <f t="shared" si="53"/>
        <v>0</v>
      </c>
      <c r="AR58" s="185"/>
    </row>
    <row r="59" spans="1:44" s="1" customFormat="1" ht="15" customHeight="1">
      <c r="A59" s="1789"/>
      <c r="B59" s="1850"/>
      <c r="C59" s="1853"/>
      <c r="D59" s="2168"/>
      <c r="E59" s="2169"/>
      <c r="F59" s="2123"/>
      <c r="G59" s="1835"/>
      <c r="H59" s="2132"/>
      <c r="I59" s="2711" t="s">
        <v>21</v>
      </c>
      <c r="J59" s="2711"/>
      <c r="K59" s="2172"/>
      <c r="L59" s="2580" t="str">
        <f>" = "&amp;FIXED(K59/5)&amp;" tsp (5ml)."</f>
        <v> = 0.00 tsp (5ml).</v>
      </c>
      <c r="M59" s="2581"/>
      <c r="N59" s="1869">
        <f>K59</f>
        <v>0</v>
      </c>
      <c r="O59" s="2588" t="str">
        <f>" = "&amp;FIXED(N59/5)&amp;" tsp (5ml)."</f>
        <v> = 0.00 tsp (5ml).</v>
      </c>
      <c r="P59" s="2589"/>
      <c r="Q59" s="1870">
        <f>K59</f>
        <v>0</v>
      </c>
      <c r="R59" s="2588" t="str">
        <f>" = "&amp;FIXED(Q59/5)&amp;" tsp (5ml)."</f>
        <v> = 0.00 tsp (5ml).</v>
      </c>
      <c r="S59" s="2589"/>
      <c r="T59" s="169"/>
      <c r="U59" s="1418">
        <f t="shared" si="27"/>
        <v>4.4</v>
      </c>
      <c r="V59" s="1420">
        <f t="shared" si="28"/>
        <v>124.73780000000001</v>
      </c>
      <c r="W59" s="12"/>
      <c r="X59" s="60"/>
      <c r="Y59" s="29" t="s">
        <v>400</v>
      </c>
      <c r="Z59" s="29" t="s">
        <v>401</v>
      </c>
      <c r="AA59" s="29" t="s">
        <v>402</v>
      </c>
      <c r="AB59" s="30" t="s">
        <v>403</v>
      </c>
      <c r="AC59" s="31" t="s">
        <v>404</v>
      </c>
      <c r="AD59" s="5"/>
      <c r="AE59" s="5"/>
      <c r="AF59" s="5"/>
      <c r="AG59" s="39"/>
      <c r="AH59" s="143" t="s">
        <v>304</v>
      </c>
      <c r="AI59" s="52">
        <f>SUM(AI33:AI58)*28.35</f>
        <v>300.51</v>
      </c>
      <c r="AJ59" s="52">
        <f aca="true" t="shared" si="54" ref="AJ59:AQ59">SUM(AJ33:AJ58)*28.35</f>
        <v>0</v>
      </c>
      <c r="AK59" s="52">
        <f t="shared" si="54"/>
        <v>0</v>
      </c>
      <c r="AL59" s="52">
        <f t="shared" si="54"/>
        <v>300.51</v>
      </c>
      <c r="AM59" s="52">
        <f t="shared" si="54"/>
        <v>0</v>
      </c>
      <c r="AN59" s="52">
        <f t="shared" si="54"/>
        <v>0</v>
      </c>
      <c r="AO59" s="52">
        <f t="shared" si="54"/>
        <v>0</v>
      </c>
      <c r="AP59" s="52">
        <f t="shared" si="54"/>
        <v>0</v>
      </c>
      <c r="AQ59" s="52">
        <f t="shared" si="54"/>
        <v>0</v>
      </c>
      <c r="AR59" s="185"/>
    </row>
    <row r="60" spans="1:44" s="1" customFormat="1" ht="15" customHeight="1">
      <c r="A60" s="1789"/>
      <c r="B60" s="1829" t="s">
        <v>437</v>
      </c>
      <c r="C60" s="1833"/>
      <c r="D60" s="2169"/>
      <c r="E60" s="2169"/>
      <c r="F60" s="2123"/>
      <c r="G60" s="1835"/>
      <c r="H60" s="2132"/>
      <c r="I60" s="2712" t="s">
        <v>733</v>
      </c>
      <c r="J60" s="2712"/>
      <c r="K60" s="2712"/>
      <c r="L60" s="2712"/>
      <c r="M60" s="2712"/>
      <c r="N60" s="2712"/>
      <c r="O60" s="2712"/>
      <c r="P60" s="2712"/>
      <c r="Q60" s="2712"/>
      <c r="R60" s="2712"/>
      <c r="S60" s="2713"/>
      <c r="T60" s="632"/>
      <c r="U60" s="1418">
        <f t="shared" si="27"/>
        <v>4.5</v>
      </c>
      <c r="V60" s="1420">
        <f t="shared" si="28"/>
        <v>127.57275</v>
      </c>
      <c r="W60" s="488"/>
      <c r="X60" s="60"/>
      <c r="Y60" s="29" t="s">
        <v>410</v>
      </c>
      <c r="Z60" s="29" t="s">
        <v>411</v>
      </c>
      <c r="AA60" s="29" t="s">
        <v>412</v>
      </c>
      <c r="AB60" s="30" t="s">
        <v>413</v>
      </c>
      <c r="AC60" s="35"/>
      <c r="AD60" s="24"/>
      <c r="AE60" s="24"/>
      <c r="AF60" s="24"/>
      <c r="AG60" s="39"/>
      <c r="AH60" s="82" t="s">
        <v>331</v>
      </c>
      <c r="AI60" s="53">
        <f>SUM(K33:M58)</f>
        <v>2</v>
      </c>
      <c r="AJ60" s="53"/>
      <c r="AK60" s="53"/>
      <c r="AL60" s="53">
        <f>SUM(N33:P58)</f>
        <v>2</v>
      </c>
      <c r="AM60" s="53"/>
      <c r="AN60" s="53"/>
      <c r="AO60" s="1589">
        <f>SUM(Q33:S40)</f>
        <v>0</v>
      </c>
      <c r="AP60" s="1588"/>
      <c r="AQ60" s="1588"/>
      <c r="AR60" s="185"/>
    </row>
    <row r="61" spans="1:44" s="1" customFormat="1" ht="15" customHeight="1">
      <c r="A61" s="1789"/>
      <c r="B61" s="1829"/>
      <c r="C61" s="1833" t="str">
        <f>C138</f>
        <v>Black</v>
      </c>
      <c r="D61" s="2170"/>
      <c r="E61" s="2170">
        <v>5</v>
      </c>
      <c r="F61" s="2123" t="str">
        <f>FIXED(W61,0)&amp;"g"</f>
        <v>142g</v>
      </c>
      <c r="G61" s="1835">
        <f t="shared" si="29"/>
        <v>5.202312138728324</v>
      </c>
      <c r="H61" s="2132">
        <f>IF(AC61=0,0,AC61*100/$AC$78)</f>
        <v>3.197829152787914</v>
      </c>
      <c r="I61" s="2594" t="s">
        <v>243</v>
      </c>
      <c r="J61" s="2595"/>
      <c r="K61" s="1871">
        <v>13</v>
      </c>
      <c r="L61" s="2600" t="s">
        <v>287</v>
      </c>
      <c r="M61" s="2601"/>
      <c r="N61" s="1872">
        <f>K61</f>
        <v>13</v>
      </c>
      <c r="O61" s="2600" t="s">
        <v>287</v>
      </c>
      <c r="P61" s="2601"/>
      <c r="Q61" s="1873">
        <v>4</v>
      </c>
      <c r="R61" s="2600" t="s">
        <v>288</v>
      </c>
      <c r="S61" s="2601"/>
      <c r="T61" s="184"/>
      <c r="U61" s="1418">
        <f t="shared" si="27"/>
        <v>4.6</v>
      </c>
      <c r="V61" s="1420">
        <f t="shared" si="28"/>
        <v>130.40769999999998</v>
      </c>
      <c r="W61" s="264">
        <f aca="true" t="shared" si="55" ref="W61:W68">453.6*(D61+E61/16)</f>
        <v>141.75</v>
      </c>
      <c r="X61" s="60" t="s">
        <v>290</v>
      </c>
      <c r="Y61" s="55">
        <f>D138</f>
        <v>194.25</v>
      </c>
      <c r="Z61" s="30">
        <f>F138</f>
        <v>0.62</v>
      </c>
      <c r="AA61" s="30">
        <f>I138</f>
        <v>908.8</v>
      </c>
      <c r="AB61" s="30"/>
      <c r="AC61" s="38">
        <f aca="true" t="shared" si="56" ref="AC61:AC68">0.001*W61*Y61</f>
        <v>27.5349375</v>
      </c>
      <c r="AD61" s="34">
        <f aca="true" t="shared" si="57" ref="AD61:AD68">AC61*Z61</f>
        <v>17.071661250000002</v>
      </c>
      <c r="AE61" s="32">
        <f aca="true" t="shared" si="58" ref="AE61:AE68">0.01*W61*AA61</f>
        <v>1288.224</v>
      </c>
      <c r="AF61" s="36"/>
      <c r="AG61" s="39">
        <f aca="true" t="shared" si="59" ref="AG61:AG68">1-Z61</f>
        <v>0.38</v>
      </c>
      <c r="AH61" s="40">
        <f aca="true" t="shared" si="60" ref="AH61:AH68">AG61*W61</f>
        <v>53.865</v>
      </c>
      <c r="AI61" s="5"/>
      <c r="AJ61" s="56"/>
      <c r="AK61" s="56"/>
      <c r="AL61" s="56"/>
      <c r="AM61" s="56"/>
      <c r="AN61" s="56"/>
      <c r="AO61" s="56"/>
      <c r="AP61" s="56"/>
      <c r="AR61" s="185"/>
    </row>
    <row r="62" spans="1:44" s="1" customFormat="1" ht="15" customHeight="1" hidden="1">
      <c r="A62" s="1789"/>
      <c r="B62" s="1829"/>
      <c r="C62" s="1874"/>
      <c r="D62" s="2171"/>
      <c r="E62" s="2170"/>
      <c r="F62" s="2125"/>
      <c r="G62" s="1835">
        <f t="shared" si="29"/>
        <v>0</v>
      </c>
      <c r="H62" s="2135"/>
      <c r="I62" s="2131"/>
      <c r="J62" s="2124"/>
      <c r="K62" s="1875">
        <f>K61-$AH$69-0.001*$AI$60</f>
        <v>12.674809999999999</v>
      </c>
      <c r="L62" s="2602"/>
      <c r="M62" s="2603"/>
      <c r="N62" s="1875">
        <f>N61-$AH$69-0.001*$AL$60</f>
        <v>12.674809999999999</v>
      </c>
      <c r="O62" s="2602"/>
      <c r="P62" s="2603"/>
      <c r="Q62" s="1875">
        <f>Q61-$AH$69-0.001*$AO$60</f>
        <v>3.67681</v>
      </c>
      <c r="R62" s="2602"/>
      <c r="S62" s="2603"/>
      <c r="T62" s="184"/>
      <c r="U62" s="1418"/>
      <c r="V62" s="1420"/>
      <c r="W62" s="264"/>
      <c r="X62" s="60"/>
      <c r="Y62" s="55"/>
      <c r="Z62" s="30"/>
      <c r="AA62" s="30"/>
      <c r="AB62" s="30"/>
      <c r="AC62" s="38"/>
      <c r="AD62" s="34"/>
      <c r="AE62" s="32"/>
      <c r="AF62" s="36"/>
      <c r="AG62" s="39"/>
      <c r="AH62" s="40"/>
      <c r="AI62" s="5"/>
      <c r="AJ62" s="56"/>
      <c r="AK62" s="56"/>
      <c r="AL62" s="56"/>
      <c r="AM62" s="56"/>
      <c r="AN62" s="56"/>
      <c r="AO62" s="56"/>
      <c r="AP62" s="56"/>
      <c r="AR62" s="185"/>
    </row>
    <row r="63" spans="1:44" s="1" customFormat="1" ht="15" customHeight="1">
      <c r="A63" s="1789"/>
      <c r="B63" s="1829"/>
      <c r="C63" s="1833" t="str">
        <f aca="true" t="shared" si="61" ref="C63:C68">C139</f>
        <v>Chocolate</v>
      </c>
      <c r="D63" s="2170"/>
      <c r="E63" s="2170">
        <v>11</v>
      </c>
      <c r="F63" s="2123" t="str">
        <f aca="true" t="shared" si="62" ref="F63:F68">FIXED(W63,0)&amp;"g"</f>
        <v>312g</v>
      </c>
      <c r="G63" s="1835">
        <f t="shared" si="29"/>
        <v>11.445086705202314</v>
      </c>
      <c r="H63" s="2132">
        <f aca="true" t="shared" si="63" ref="H63:H68">IF(AC63=0,0,AC63*100/$AC$78)</f>
        <v>7.741462852502017</v>
      </c>
      <c r="I63" s="2596" t="s">
        <v>627</v>
      </c>
      <c r="J63" s="2597"/>
      <c r="K63" s="1876">
        <f>1000+SUM($AC33:$AC68)/$K62</f>
        <v>1066.1632935720536</v>
      </c>
      <c r="L63" s="2604"/>
      <c r="M63" s="2605"/>
      <c r="N63" s="1876">
        <f>1000+SUM($AC33:$AC75)/$N62</f>
        <v>1066.1632935720536</v>
      </c>
      <c r="O63" s="2604"/>
      <c r="P63" s="2605"/>
      <c r="Q63" s="1877">
        <f>1000+SUM($AC61:$AC68)/$Q62</f>
        <v>1047.963091647379</v>
      </c>
      <c r="R63" s="2604"/>
      <c r="S63" s="2605"/>
      <c r="T63" s="629"/>
      <c r="U63" s="1418">
        <f>U61+0.1</f>
        <v>4.699999999999999</v>
      </c>
      <c r="V63" s="1420">
        <f t="shared" si="28"/>
        <v>133.24264999999997</v>
      </c>
      <c r="W63" s="264">
        <f t="shared" si="55"/>
        <v>311.85</v>
      </c>
      <c r="X63" s="60" t="s">
        <v>290</v>
      </c>
      <c r="Y63" s="55">
        <f aca="true" t="shared" si="64" ref="Y63:Y68">D139</f>
        <v>213.75</v>
      </c>
      <c r="Z63" s="30">
        <f aca="true" t="shared" si="65" ref="Z63:Z68">F139</f>
        <v>0.62</v>
      </c>
      <c r="AA63" s="30">
        <f aca="true" t="shared" si="66" ref="AA63:AA68">I139</f>
        <v>763.2</v>
      </c>
      <c r="AB63" s="30"/>
      <c r="AC63" s="38">
        <f t="shared" si="56"/>
        <v>66.6579375</v>
      </c>
      <c r="AD63" s="34">
        <f t="shared" si="57"/>
        <v>41.32792125</v>
      </c>
      <c r="AE63" s="32">
        <f t="shared" si="58"/>
        <v>2380.0392000000006</v>
      </c>
      <c r="AF63" s="36"/>
      <c r="AG63" s="39">
        <f t="shared" si="59"/>
        <v>0.38</v>
      </c>
      <c r="AH63" s="40">
        <f t="shared" si="60"/>
        <v>118.50300000000001</v>
      </c>
      <c r="AI63" s="5"/>
      <c r="AJ63" s="56"/>
      <c r="AK63" s="56"/>
      <c r="AL63" s="56"/>
      <c r="AM63" s="56"/>
      <c r="AN63" s="56"/>
      <c r="AO63" s="56"/>
      <c r="AP63" s="56"/>
      <c r="AR63" s="185"/>
    </row>
    <row r="64" spans="1:44" s="1" customFormat="1" ht="15" customHeight="1">
      <c r="A64" s="1789"/>
      <c r="B64" s="1829"/>
      <c r="C64" s="1833" t="str">
        <f t="shared" si="61"/>
        <v>Crystal (light)</v>
      </c>
      <c r="D64" s="2170"/>
      <c r="E64" s="2170"/>
      <c r="F64" s="2123" t="str">
        <f t="shared" si="62"/>
        <v>0g</v>
      </c>
      <c r="G64" s="1835">
        <f t="shared" si="29"/>
        <v>0</v>
      </c>
      <c r="H64" s="2132">
        <f t="shared" si="63"/>
        <v>0</v>
      </c>
      <c r="I64" s="2598" t="s">
        <v>244</v>
      </c>
      <c r="J64" s="2599"/>
      <c r="K64" s="1878">
        <v>60</v>
      </c>
      <c r="L64" s="1844">
        <v>30</v>
      </c>
      <c r="M64" s="1843">
        <v>15</v>
      </c>
      <c r="N64" s="1878">
        <f>K64</f>
        <v>60</v>
      </c>
      <c r="O64" s="1844">
        <f>L64</f>
        <v>30</v>
      </c>
      <c r="P64" s="1844">
        <f>M64</f>
        <v>15</v>
      </c>
      <c r="Q64" s="1879">
        <v>45</v>
      </c>
      <c r="R64" s="1849">
        <v>20</v>
      </c>
      <c r="S64" s="1849">
        <v>15</v>
      </c>
      <c r="T64" s="633"/>
      <c r="U64" s="1418">
        <f>U63+0.1</f>
        <v>4.799999999999999</v>
      </c>
      <c r="V64" s="1420">
        <f aca="true" t="shared" si="67" ref="V64:V99">U64*28.3495</f>
        <v>136.07759999999996</v>
      </c>
      <c r="W64" s="264">
        <f t="shared" si="55"/>
        <v>0</v>
      </c>
      <c r="X64" s="60" t="s">
        <v>290</v>
      </c>
      <c r="Y64" s="55">
        <f t="shared" si="64"/>
        <v>212.25</v>
      </c>
      <c r="Z64" s="30">
        <f t="shared" si="65"/>
        <v>0.62</v>
      </c>
      <c r="AA64" s="30">
        <f t="shared" si="66"/>
        <v>77.7</v>
      </c>
      <c r="AB64" s="30"/>
      <c r="AC64" s="38">
        <f t="shared" si="56"/>
        <v>0</v>
      </c>
      <c r="AD64" s="34">
        <f t="shared" si="57"/>
        <v>0</v>
      </c>
      <c r="AE64" s="32">
        <f t="shared" si="58"/>
        <v>0</v>
      </c>
      <c r="AF64" s="36"/>
      <c r="AG64" s="39">
        <f t="shared" si="59"/>
        <v>0.38</v>
      </c>
      <c r="AH64" s="40">
        <f t="shared" si="60"/>
        <v>0</v>
      </c>
      <c r="AI64" s="5"/>
      <c r="AJ64" s="5"/>
      <c r="AK64" s="5"/>
      <c r="AL64" s="5"/>
      <c r="AM64" s="5"/>
      <c r="AN64" s="5"/>
      <c r="AO64" s="5"/>
      <c r="AP64" s="5"/>
      <c r="AR64" s="185"/>
    </row>
    <row r="65" spans="1:44" s="1" customFormat="1" ht="15" customHeight="1">
      <c r="A65" s="1789"/>
      <c r="B65" s="1829"/>
      <c r="C65" s="1833" t="str">
        <f t="shared" si="61"/>
        <v>Crystal (medium)</v>
      </c>
      <c r="D65" s="2170"/>
      <c r="E65" s="2170"/>
      <c r="F65" s="2123" t="str">
        <f t="shared" si="62"/>
        <v>0g</v>
      </c>
      <c r="G65" s="1835">
        <f t="shared" si="29"/>
        <v>0</v>
      </c>
      <c r="H65" s="2132">
        <f t="shared" si="63"/>
        <v>0</v>
      </c>
      <c r="I65" s="2675" t="s">
        <v>436</v>
      </c>
      <c r="J65" s="2676"/>
      <c r="K65" s="1880">
        <f>K66*AI59/($K62*10)</f>
        <v>47.294500799466796</v>
      </c>
      <c r="L65" s="1780">
        <f>L66*AJ59/($K62*10)</f>
        <v>0</v>
      </c>
      <c r="M65" s="1881">
        <f>M66*AK59/($K62*10)</f>
        <v>0</v>
      </c>
      <c r="N65" s="1880">
        <f>N66*AL59/($N62*10)</f>
        <v>47.294500799466796</v>
      </c>
      <c r="O65" s="1780">
        <f>O66*AM59/($N62*10)</f>
        <v>0</v>
      </c>
      <c r="P65" s="1780">
        <f>P66*AN59/($N62*10)</f>
        <v>0</v>
      </c>
      <c r="Q65" s="1779">
        <f>Q66*AO59/($Q62*10)</f>
        <v>0</v>
      </c>
      <c r="R65" s="1880">
        <f>R66*AP59/($Q62*10)</f>
        <v>0</v>
      </c>
      <c r="S65" s="1880">
        <f>S66*AQ59/($Q62*10)</f>
        <v>0</v>
      </c>
      <c r="T65" s="633"/>
      <c r="U65" s="1418">
        <f t="shared" si="27"/>
        <v>4.899999999999999</v>
      </c>
      <c r="V65" s="1420">
        <f t="shared" si="67"/>
        <v>138.91254999999995</v>
      </c>
      <c r="W65" s="264">
        <f t="shared" si="55"/>
        <v>0</v>
      </c>
      <c r="X65" s="60" t="s">
        <v>290</v>
      </c>
      <c r="Y65" s="55">
        <f t="shared" si="64"/>
        <v>204</v>
      </c>
      <c r="Z65" s="30">
        <f t="shared" si="65"/>
        <v>0.62</v>
      </c>
      <c r="AA65" s="30">
        <f t="shared" si="66"/>
        <v>103.6</v>
      </c>
      <c r="AB65" s="30"/>
      <c r="AC65" s="38">
        <f t="shared" si="56"/>
        <v>0</v>
      </c>
      <c r="AD65" s="34">
        <f t="shared" si="57"/>
        <v>0</v>
      </c>
      <c r="AE65" s="32">
        <f t="shared" si="58"/>
        <v>0</v>
      </c>
      <c r="AF65" s="36"/>
      <c r="AG65" s="39">
        <f t="shared" si="59"/>
        <v>0.38</v>
      </c>
      <c r="AH65" s="40">
        <f t="shared" si="60"/>
        <v>0</v>
      </c>
      <c r="AI65" s="5"/>
      <c r="AJ65" s="5"/>
      <c r="AK65" s="5"/>
      <c r="AL65" s="5"/>
      <c r="AM65" s="5"/>
      <c r="AN65" s="5"/>
      <c r="AO65" s="5"/>
      <c r="AP65" s="5"/>
      <c r="AQ65" s="5"/>
      <c r="AR65" s="185"/>
    </row>
    <row r="66" spans="1:44" s="1" customFormat="1" ht="15" customHeight="1">
      <c r="A66" s="1789"/>
      <c r="B66" s="1829"/>
      <c r="C66" s="1833" t="str">
        <f t="shared" si="61"/>
        <v>Crystal (dark)</v>
      </c>
      <c r="D66" s="2170"/>
      <c r="E66" s="2170"/>
      <c r="F66" s="2123" t="str">
        <f t="shared" si="62"/>
        <v>0g</v>
      </c>
      <c r="G66" s="1835">
        <f t="shared" si="29"/>
        <v>0</v>
      </c>
      <c r="H66" s="2132">
        <f t="shared" si="63"/>
        <v>0</v>
      </c>
      <c r="I66" s="2592" t="s">
        <v>438</v>
      </c>
      <c r="J66" s="2593"/>
      <c r="K66" s="1882">
        <f>165*POWER(0.000125,0.001*($K63-1000))*(1-EXP(-$O129*$K64))/$O130</f>
        <v>19.947715938840297</v>
      </c>
      <c r="L66" s="1883">
        <f>165*POWER(0.000125,0.001*($K63-1000))*(1-EXP(-$O129*$L64))/$O130</f>
        <v>15.330314073197139</v>
      </c>
      <c r="M66" s="1884">
        <f>165*POWER(0.000125,0.001*($K63-1000))*(1-EXP(-$O129*$M64))/$O130</f>
        <v>9.898113957781796</v>
      </c>
      <c r="N66" s="1882">
        <f>165*POWER(0.000125,0.001*($N63-1000))*(1-EXP(-$O129*$N64))/$O130</f>
        <v>19.947715938840297</v>
      </c>
      <c r="O66" s="1883">
        <f>165*POWER(0.000125,0.001*($N63-1000))*(1-EXP(-$O129*$O64))/$O130</f>
        <v>15.330314073197139</v>
      </c>
      <c r="P66" s="1883">
        <f>165*POWER(0.000125,0.001*($N63-1000))*(1-EXP(-$O129*$P64))/$O130</f>
        <v>9.898113957781796</v>
      </c>
      <c r="Q66" s="1885">
        <f>165*POWER(0.000125,0.001*($Q63-1000))*(1-EXP(-$O129*$Q64))/$O130</f>
        <v>21.56565119992261</v>
      </c>
      <c r="R66" s="1886">
        <f>165*POWER(0.000125,0.001*($Q63-1000))*(1-EXP(-$O129*$R64))/$O130</f>
        <v>14.227343558277967</v>
      </c>
      <c r="S66" s="1886">
        <f>165*POWER(0.000125,0.001*($Q63-1000))*(1-EXP(-$O129*$S64))/$O130</f>
        <v>11.65707190772621</v>
      </c>
      <c r="T66" s="634"/>
      <c r="U66" s="1418">
        <f t="shared" si="27"/>
        <v>4.999999999999998</v>
      </c>
      <c r="V66" s="1420">
        <f t="shared" si="67"/>
        <v>141.74749999999995</v>
      </c>
      <c r="W66" s="264">
        <f t="shared" si="55"/>
        <v>0</v>
      </c>
      <c r="X66" s="60" t="s">
        <v>290</v>
      </c>
      <c r="Y66" s="55">
        <f t="shared" si="64"/>
        <v>203.25</v>
      </c>
      <c r="Z66" s="30">
        <f t="shared" si="65"/>
        <v>0.62</v>
      </c>
      <c r="AA66" s="30">
        <f t="shared" si="66"/>
        <v>148</v>
      </c>
      <c r="AB66" s="30"/>
      <c r="AC66" s="38">
        <f t="shared" si="56"/>
        <v>0</v>
      </c>
      <c r="AD66" s="34">
        <f t="shared" si="57"/>
        <v>0</v>
      </c>
      <c r="AE66" s="32">
        <f t="shared" si="58"/>
        <v>0</v>
      </c>
      <c r="AF66" s="36"/>
      <c r="AG66" s="39">
        <f t="shared" si="59"/>
        <v>0.38</v>
      </c>
      <c r="AH66" s="40">
        <f t="shared" si="60"/>
        <v>0</v>
      </c>
      <c r="AI66" s="5"/>
      <c r="AJ66" s="5"/>
      <c r="AK66" s="5"/>
      <c r="AL66" s="5"/>
      <c r="AM66" s="5"/>
      <c r="AN66" s="5"/>
      <c r="AO66" s="5"/>
      <c r="AP66" s="5"/>
      <c r="AQ66" s="5"/>
      <c r="AR66" s="185"/>
    </row>
    <row r="67" spans="1:44" s="1" customFormat="1" ht="15" customHeight="1">
      <c r="A67" s="1789"/>
      <c r="B67" s="1829"/>
      <c r="C67" s="1833" t="str">
        <f t="shared" si="61"/>
        <v>Roast barley</v>
      </c>
      <c r="D67" s="2170"/>
      <c r="E67" s="2170">
        <v>14</v>
      </c>
      <c r="F67" s="2123" t="str">
        <f t="shared" si="62"/>
        <v>397g</v>
      </c>
      <c r="G67" s="1835">
        <f t="shared" si="29"/>
        <v>14.566473988439308</v>
      </c>
      <c r="H67" s="2132">
        <f t="shared" si="63"/>
        <v>9.541630769399616</v>
      </c>
      <c r="I67" s="2578" t="s">
        <v>259</v>
      </c>
      <c r="J67" s="2579"/>
      <c r="K67" s="1887">
        <f>K65*$K62/$D$23</f>
        <v>31.54993745674156</v>
      </c>
      <c r="L67" s="1888">
        <f>L65*$K62/$D$23</f>
        <v>0</v>
      </c>
      <c r="M67" s="1889">
        <f>M65*$K62/$D$23</f>
        <v>0</v>
      </c>
      <c r="N67" s="1890">
        <f>N65*$N62/$D$23</f>
        <v>31.54993745674156</v>
      </c>
      <c r="O67" s="1891">
        <f>O65*$N62/$D$23</f>
        <v>0</v>
      </c>
      <c r="P67" s="1891">
        <f>P65*$N62/$D$23</f>
        <v>0</v>
      </c>
      <c r="Q67" s="1892">
        <f>Q65*$Q62/$D$23</f>
        <v>0</v>
      </c>
      <c r="R67" s="2128">
        <f>R65*$Q62/$D$23</f>
        <v>0</v>
      </c>
      <c r="S67" s="2128">
        <f>S65*$Q62/$D$23</f>
        <v>0</v>
      </c>
      <c r="T67" s="635"/>
      <c r="U67" s="1418">
        <f t="shared" si="27"/>
        <v>5.099999999999998</v>
      </c>
      <c r="V67" s="1420">
        <f t="shared" si="67"/>
        <v>144.58244999999994</v>
      </c>
      <c r="W67" s="264">
        <f>453.6*(D67+E67/16)</f>
        <v>396.90000000000003</v>
      </c>
      <c r="X67" s="60" t="s">
        <v>290</v>
      </c>
      <c r="Y67" s="55">
        <f t="shared" si="64"/>
        <v>207</v>
      </c>
      <c r="Z67" s="30">
        <f t="shared" si="65"/>
        <v>0.62</v>
      </c>
      <c r="AA67" s="30">
        <f t="shared" si="66"/>
        <v>902.8</v>
      </c>
      <c r="AB67" s="30"/>
      <c r="AC67" s="38">
        <f t="shared" si="56"/>
        <v>82.15830000000001</v>
      </c>
      <c r="AD67" s="34">
        <f t="shared" si="57"/>
        <v>50.938146</v>
      </c>
      <c r="AE67" s="32">
        <f t="shared" si="58"/>
        <v>3583.2132</v>
      </c>
      <c r="AF67" s="36"/>
      <c r="AG67" s="39">
        <f t="shared" si="59"/>
        <v>0.38</v>
      </c>
      <c r="AH67" s="40">
        <f t="shared" si="60"/>
        <v>150.822</v>
      </c>
      <c r="AI67" s="1518"/>
      <c r="AJ67" s="1518"/>
      <c r="AK67" s="1518"/>
      <c r="AL67" s="1518"/>
      <c r="AM67" s="1518"/>
      <c r="AN67" s="1518"/>
      <c r="AO67" s="1518"/>
      <c r="AP67" s="1518"/>
      <c r="AQ67" s="1518"/>
      <c r="AR67" s="185"/>
    </row>
    <row r="68" spans="1:44" s="1" customFormat="1" ht="15" customHeight="1">
      <c r="A68" s="1789"/>
      <c r="B68" s="1829"/>
      <c r="C68" s="1893" t="str">
        <f t="shared" si="61"/>
        <v>OTHER</v>
      </c>
      <c r="D68" s="2170"/>
      <c r="E68" s="2170"/>
      <c r="F68" s="2123" t="str">
        <f t="shared" si="62"/>
        <v>0g</v>
      </c>
      <c r="G68" s="1835">
        <f t="shared" si="29"/>
        <v>0</v>
      </c>
      <c r="H68" s="2132">
        <f t="shared" si="63"/>
        <v>0</v>
      </c>
      <c r="I68" s="234"/>
      <c r="J68" s="234"/>
      <c r="K68" s="1894" t="s">
        <v>441</v>
      </c>
      <c r="L68" s="1895">
        <f>(AF69+K67+L67+M67)+(K59*P148*R148/(M148*D23))</f>
        <v>31.54993745674156</v>
      </c>
      <c r="M68" s="1896" t="s">
        <v>413</v>
      </c>
      <c r="N68" s="1897" t="s">
        <v>441</v>
      </c>
      <c r="O68" s="1898">
        <f>AF69+N67+O67+P67+(N59*P148*R148/(M148*D23))</f>
        <v>31.54993745674156</v>
      </c>
      <c r="P68" s="1899" t="s">
        <v>413</v>
      </c>
      <c r="Q68" s="1900" t="s">
        <v>441</v>
      </c>
      <c r="R68" s="1901">
        <f>(AF69+Q67+R67+S67)+(Q59*P148*R148/(M148*D23))</f>
        <v>0</v>
      </c>
      <c r="S68" s="1902" t="s">
        <v>413</v>
      </c>
      <c r="T68" s="636"/>
      <c r="U68" s="1418">
        <f t="shared" si="27"/>
        <v>5.1999999999999975</v>
      </c>
      <c r="V68" s="1420">
        <f t="shared" si="67"/>
        <v>147.41739999999993</v>
      </c>
      <c r="W68" s="264">
        <f t="shared" si="55"/>
        <v>0</v>
      </c>
      <c r="X68" s="60" t="s">
        <v>290</v>
      </c>
      <c r="Y68" s="55">
        <f t="shared" si="64"/>
        <v>0</v>
      </c>
      <c r="Z68" s="30">
        <f t="shared" si="65"/>
        <v>0</v>
      </c>
      <c r="AA68" s="30">
        <f t="shared" si="66"/>
        <v>0</v>
      </c>
      <c r="AB68" s="30"/>
      <c r="AC68" s="38">
        <f t="shared" si="56"/>
        <v>0</v>
      </c>
      <c r="AD68" s="34">
        <f t="shared" si="57"/>
        <v>0</v>
      </c>
      <c r="AE68" s="32">
        <f t="shared" si="58"/>
        <v>0</v>
      </c>
      <c r="AF68" s="36"/>
      <c r="AG68" s="39">
        <f t="shared" si="59"/>
        <v>1</v>
      </c>
      <c r="AH68" s="40">
        <f t="shared" si="60"/>
        <v>0</v>
      </c>
      <c r="AI68" s="12"/>
      <c r="AJ68" s="12"/>
      <c r="AK68" s="1519"/>
      <c r="AL68" s="1519"/>
      <c r="AM68" s="1518"/>
      <c r="AN68" s="1518"/>
      <c r="AO68" s="1518"/>
      <c r="AP68" s="1518"/>
      <c r="AQ68" s="1518"/>
      <c r="AR68" s="185"/>
    </row>
    <row r="69" spans="1:44" s="1" customFormat="1" ht="15" customHeight="1">
      <c r="A69" s="1789"/>
      <c r="B69" s="1829"/>
      <c r="C69" s="1851"/>
      <c r="D69" s="2168"/>
      <c r="E69" s="2169"/>
      <c r="F69" s="2123"/>
      <c r="G69" s="2105"/>
      <c r="H69" s="2132"/>
      <c r="I69" s="236"/>
      <c r="J69" s="1678"/>
      <c r="K69" s="1678"/>
      <c r="L69" s="1678"/>
      <c r="M69" s="221"/>
      <c r="N69" s="221"/>
      <c r="O69" s="221"/>
      <c r="P69" s="221"/>
      <c r="Q69" s="221"/>
      <c r="R69" s="1678"/>
      <c r="S69" s="1678"/>
      <c r="T69" s="630"/>
      <c r="U69" s="1418">
        <f t="shared" si="27"/>
        <v>5.299999999999997</v>
      </c>
      <c r="V69" s="1420">
        <f t="shared" si="67"/>
        <v>150.25234999999992</v>
      </c>
      <c r="W69" s="12"/>
      <c r="X69" s="60"/>
      <c r="Y69" s="5"/>
      <c r="Z69" s="5"/>
      <c r="AA69" s="5"/>
      <c r="AB69" s="5"/>
      <c r="AC69" s="6"/>
      <c r="AD69" s="5"/>
      <c r="AE69" s="5"/>
      <c r="AF69" s="67">
        <f>SUM(AF33:AF58)/D23</f>
        <v>0</v>
      </c>
      <c r="AG69" s="65" t="s">
        <v>458</v>
      </c>
      <c r="AH69" s="136">
        <f>(SUM(AH61:AH68))/1000</f>
        <v>0.32319000000000003</v>
      </c>
      <c r="AI69" s="137" t="s">
        <v>307</v>
      </c>
      <c r="AJ69" s="1520"/>
      <c r="AK69" s="1519"/>
      <c r="AL69" s="1519"/>
      <c r="AM69" s="1518"/>
      <c r="AN69" s="1518"/>
      <c r="AO69" s="1518"/>
      <c r="AP69" s="1518"/>
      <c r="AQ69" s="1518"/>
      <c r="AR69" s="185"/>
    </row>
    <row r="70" spans="1:44" s="1" customFormat="1" ht="15" customHeight="1">
      <c r="A70" s="1789"/>
      <c r="B70" s="1829" t="s">
        <v>489</v>
      </c>
      <c r="C70" s="1893"/>
      <c r="D70" s="2169"/>
      <c r="E70" s="2169"/>
      <c r="F70" s="2123"/>
      <c r="G70" s="2105"/>
      <c r="H70" s="2132"/>
      <c r="I70" s="236"/>
      <c r="J70" s="221"/>
      <c r="K70" s="2679" t="s">
        <v>164</v>
      </c>
      <c r="L70" s="2679"/>
      <c r="M70" s="2679"/>
      <c r="N70" s="2679"/>
      <c r="O70" s="2679"/>
      <c r="P70" s="2679"/>
      <c r="Q70" s="2679"/>
      <c r="R70" s="2679"/>
      <c r="S70" s="2679"/>
      <c r="T70" s="610"/>
      <c r="U70" s="1418">
        <f t="shared" si="27"/>
        <v>5.399999999999997</v>
      </c>
      <c r="V70" s="1420">
        <f t="shared" si="67"/>
        <v>153.0872999999999</v>
      </c>
      <c r="AG70" s="308"/>
      <c r="AH70" s="309"/>
      <c r="AI70" s="12"/>
      <c r="AJ70" s="1520"/>
      <c r="AK70" s="1521"/>
      <c r="AL70" s="1522"/>
      <c r="AM70" s="1518"/>
      <c r="AN70" s="1518"/>
      <c r="AO70" s="1518"/>
      <c r="AP70" s="1518"/>
      <c r="AQ70" s="1518"/>
      <c r="AR70" s="185"/>
    </row>
    <row r="71" spans="1:44" s="1" customFormat="1" ht="15" customHeight="1">
      <c r="A71" s="1789"/>
      <c r="B71" s="1829"/>
      <c r="C71" s="1893" t="str">
        <f>C147</f>
        <v>Cane sugar</v>
      </c>
      <c r="D71" s="1834"/>
      <c r="E71" s="1834"/>
      <c r="F71" s="2123" t="str">
        <f>FIXED(W71,0)&amp;"g"</f>
        <v>0g</v>
      </c>
      <c r="G71" s="1835">
        <f t="shared" si="29"/>
        <v>0</v>
      </c>
      <c r="H71" s="2132">
        <f>IF(AC71=0,0,AC71*100/$AC$78)</f>
        <v>0</v>
      </c>
      <c r="I71" s="221"/>
      <c r="J71" s="221"/>
      <c r="K71" s="2679"/>
      <c r="L71" s="2679"/>
      <c r="M71" s="2679"/>
      <c r="N71" s="2679"/>
      <c r="O71" s="2679"/>
      <c r="P71" s="2679"/>
      <c r="Q71" s="2679"/>
      <c r="R71" s="2679"/>
      <c r="S71" s="2679"/>
      <c r="T71" s="637"/>
      <c r="U71" s="1418">
        <f t="shared" si="27"/>
        <v>5.4999999999999964</v>
      </c>
      <c r="V71" s="1420">
        <f t="shared" si="67"/>
        <v>155.9222499999999</v>
      </c>
      <c r="W71" s="264">
        <f>453.6*(D71+E71/16)</f>
        <v>0</v>
      </c>
      <c r="X71" s="394" t="s">
        <v>290</v>
      </c>
      <c r="Y71" s="472">
        <f>D147</f>
        <v>375</v>
      </c>
      <c r="Z71" s="472">
        <f>F147</f>
        <v>1</v>
      </c>
      <c r="AA71" s="472">
        <f>I147</f>
        <v>0</v>
      </c>
      <c r="AB71" s="472">
        <v>0</v>
      </c>
      <c r="AC71" s="473">
        <f>0.001*W71*Y71</f>
        <v>0</v>
      </c>
      <c r="AD71" s="212">
        <f aca="true" t="shared" si="68" ref="AD71:AD76">AC71*Z71</f>
        <v>0</v>
      </c>
      <c r="AE71" s="219">
        <f>0.01*W71*AA71</f>
        <v>0</v>
      </c>
      <c r="AF71" s="474" t="s">
        <v>374</v>
      </c>
      <c r="AG71" s="308"/>
      <c r="AH71" s="309"/>
      <c r="AI71" s="12"/>
      <c r="AJ71" s="1520"/>
      <c r="AK71" s="1523"/>
      <c r="AL71" s="1522"/>
      <c r="AM71" s="1518"/>
      <c r="AN71" s="1518"/>
      <c r="AO71" s="1518"/>
      <c r="AP71" s="1518"/>
      <c r="AQ71" s="1518"/>
      <c r="AR71" s="185"/>
    </row>
    <row r="72" spans="1:44" s="1" customFormat="1" ht="15" customHeight="1">
      <c r="A72" s="1789"/>
      <c r="B72" s="1829"/>
      <c r="C72" s="1893" t="str">
        <f>C148</f>
        <v>Brown sugar (light)</v>
      </c>
      <c r="D72" s="1834"/>
      <c r="E72" s="1834"/>
      <c r="F72" s="2123" t="str">
        <f>FIXED(W72,0)&amp;"g"</f>
        <v>0g</v>
      </c>
      <c r="G72" s="1835">
        <f t="shared" si="29"/>
        <v>0</v>
      </c>
      <c r="H72" s="2132">
        <f>IF(AC72=0,0,AC72*100/$AC$78)</f>
        <v>0</v>
      </c>
      <c r="I72" s="446"/>
      <c r="J72" s="221"/>
      <c r="K72" s="2679"/>
      <c r="L72" s="2679"/>
      <c r="M72" s="2679"/>
      <c r="N72" s="2679"/>
      <c r="O72" s="2679"/>
      <c r="P72" s="2679"/>
      <c r="Q72" s="2679"/>
      <c r="R72" s="2679"/>
      <c r="S72" s="2679"/>
      <c r="T72" s="625"/>
      <c r="U72" s="1418">
        <f t="shared" si="27"/>
        <v>5.599999999999996</v>
      </c>
      <c r="V72" s="1420">
        <f t="shared" si="67"/>
        <v>158.7571999999999</v>
      </c>
      <c r="W72" s="264">
        <f>453.6*(D72+E72/16)</f>
        <v>0</v>
      </c>
      <c r="X72" s="394" t="s">
        <v>290</v>
      </c>
      <c r="Y72" s="472">
        <f>D148</f>
        <v>370</v>
      </c>
      <c r="Z72" s="472">
        <f>F148</f>
        <v>1</v>
      </c>
      <c r="AA72" s="472">
        <f>I148</f>
        <v>16</v>
      </c>
      <c r="AB72" s="472">
        <v>0</v>
      </c>
      <c r="AC72" s="473">
        <f>0.001*W72*Y72</f>
        <v>0</v>
      </c>
      <c r="AD72" s="212">
        <f t="shared" si="68"/>
        <v>0</v>
      </c>
      <c r="AE72" s="219">
        <f>0.01*W72*AA72</f>
        <v>0</v>
      </c>
      <c r="AF72" s="212"/>
      <c r="AG72" s="308"/>
      <c r="AH72" s="309"/>
      <c r="AI72" s="12"/>
      <c r="AJ72" s="1520"/>
      <c r="AK72" s="1523"/>
      <c r="AL72" s="1522"/>
      <c r="AM72" s="1518"/>
      <c r="AN72" s="1518"/>
      <c r="AO72" s="1518"/>
      <c r="AP72" s="1518"/>
      <c r="AQ72" s="1518"/>
      <c r="AR72" s="185"/>
    </row>
    <row r="73" spans="1:44" s="1" customFormat="1" ht="15" customHeight="1">
      <c r="A73" s="1789"/>
      <c r="B73" s="1829"/>
      <c r="C73" s="1903" t="str">
        <f>C149</f>
        <v>Invert sugar</v>
      </c>
      <c r="D73" s="1834"/>
      <c r="E73" s="1834"/>
      <c r="F73" s="2123" t="str">
        <f>FIXED(W73,0)&amp;"g"</f>
        <v>0g</v>
      </c>
      <c r="G73" s="1835">
        <f t="shared" si="29"/>
        <v>0</v>
      </c>
      <c r="H73" s="2132">
        <f>IF(AC73=0,0,AC73*100/$AC$78)</f>
        <v>0</v>
      </c>
      <c r="I73" s="236"/>
      <c r="J73" s="221"/>
      <c r="K73" s="221"/>
      <c r="L73" s="221"/>
      <c r="M73" s="221"/>
      <c r="N73" s="221"/>
      <c r="O73" s="221"/>
      <c r="P73" s="221"/>
      <c r="Q73" s="221"/>
      <c r="R73" s="221"/>
      <c r="S73" s="221"/>
      <c r="T73" s="446"/>
      <c r="U73" s="1418">
        <f t="shared" si="27"/>
        <v>5.699999999999996</v>
      </c>
      <c r="V73" s="1420">
        <f t="shared" si="67"/>
        <v>161.59214999999986</v>
      </c>
      <c r="W73" s="264">
        <f>453.6*(D73+E73/16)</f>
        <v>0</v>
      </c>
      <c r="X73" s="394" t="s">
        <v>290</v>
      </c>
      <c r="Y73" s="212">
        <f>D149</f>
        <v>319</v>
      </c>
      <c r="Z73" s="212">
        <f>F149</f>
        <v>0.85</v>
      </c>
      <c r="AA73" s="212">
        <f>I149</f>
        <v>0</v>
      </c>
      <c r="AB73" s="212">
        <v>0</v>
      </c>
      <c r="AC73" s="244">
        <f>0.001*W73*Y73</f>
        <v>0</v>
      </c>
      <c r="AD73" s="212">
        <f t="shared" si="68"/>
        <v>0</v>
      </c>
      <c r="AE73" s="219">
        <f>0.01*W73*AA73</f>
        <v>0</v>
      </c>
      <c r="AF73" s="212"/>
      <c r="AG73" s="308"/>
      <c r="AH73" s="309"/>
      <c r="AI73" s="1524"/>
      <c r="AJ73" s="1524"/>
      <c r="AK73" s="1524"/>
      <c r="AL73" s="1524"/>
      <c r="AM73" s="1524"/>
      <c r="AN73" s="1524"/>
      <c r="AO73" s="1524"/>
      <c r="AP73" s="1524"/>
      <c r="AQ73" s="1524"/>
      <c r="AR73" s="185"/>
    </row>
    <row r="74" spans="1:44" s="1" customFormat="1" ht="15" customHeight="1">
      <c r="A74" s="1789"/>
      <c r="B74" s="1829"/>
      <c r="C74" s="1904" t="s">
        <v>295</v>
      </c>
      <c r="D74" s="1905">
        <f>INT(0.85*(D73+E73/16))</f>
        <v>0</v>
      </c>
      <c r="E74" s="2709" t="str">
        <f>"lb "&amp;FIXED(16*((0.85*(D73+E73/16))-D74),1)&amp;" oz  OR  "&amp;FIXED(0.85*(D73+E73/16),3)&amp;" lb"</f>
        <v>lb 0.0 oz  OR  0.000 lb</v>
      </c>
      <c r="F74" s="2709"/>
      <c r="G74" s="2709"/>
      <c r="H74" s="2710"/>
      <c r="I74" s="221"/>
      <c r="J74" s="221"/>
      <c r="K74" s="2683" t="s">
        <v>1436</v>
      </c>
      <c r="L74" s="2683"/>
      <c r="M74" s="2683"/>
      <c r="N74" s="2683"/>
      <c r="O74" s="2683"/>
      <c r="P74" s="1586"/>
      <c r="Q74" s="1586"/>
      <c r="R74" s="221"/>
      <c r="S74" s="221"/>
      <c r="T74" s="611"/>
      <c r="U74" s="1418">
        <f t="shared" si="27"/>
        <v>5.799999999999995</v>
      </c>
      <c r="V74" s="1420">
        <f t="shared" si="67"/>
        <v>164.42709999999985</v>
      </c>
      <c r="W74" s="435">
        <f>0.85*W73</f>
        <v>0</v>
      </c>
      <c r="X74" s="60" t="s">
        <v>290</v>
      </c>
      <c r="Y74" s="212"/>
      <c r="Z74" s="212"/>
      <c r="AA74" s="212"/>
      <c r="AB74" s="212"/>
      <c r="AE74" s="219"/>
      <c r="AF74" s="212"/>
      <c r="AG74" s="443"/>
      <c r="AH74" s="443"/>
      <c r="AI74" s="1525"/>
      <c r="AJ74" s="1526"/>
      <c r="AK74" s="1526"/>
      <c r="AL74" s="1526"/>
      <c r="AM74" s="1527"/>
      <c r="AN74" s="1527"/>
      <c r="AO74" s="1527"/>
      <c r="AP74" s="1527"/>
      <c r="AQ74" s="1527"/>
      <c r="AR74" s="185"/>
    </row>
    <row r="75" spans="1:44" s="1" customFormat="1" ht="15" customHeight="1">
      <c r="A75" s="1789"/>
      <c r="B75" s="1829"/>
      <c r="C75" s="1893" t="str">
        <f>C150</f>
        <v>Lactose</v>
      </c>
      <c r="D75" s="1834"/>
      <c r="E75" s="1834"/>
      <c r="F75" s="2123" t="str">
        <f>FIXED(W75,0)&amp;"g"</f>
        <v>0g</v>
      </c>
      <c r="G75" s="1835">
        <f t="shared" si="29"/>
        <v>0</v>
      </c>
      <c r="H75" s="2132">
        <f>IF(AC75=0,0,AC75*100/$AC$78)</f>
        <v>0</v>
      </c>
      <c r="I75" s="221"/>
      <c r="J75" s="221"/>
      <c r="K75" s="225" t="s">
        <v>318</v>
      </c>
      <c r="L75" s="2682" t="s">
        <v>942</v>
      </c>
      <c r="M75" s="2682"/>
      <c r="N75" s="321" t="s">
        <v>389</v>
      </c>
      <c r="O75" s="221"/>
      <c r="P75" s="1586"/>
      <c r="Q75" s="1586"/>
      <c r="R75" s="221"/>
      <c r="S75" s="221"/>
      <c r="T75" s="638"/>
      <c r="U75" s="1418">
        <f t="shared" si="27"/>
        <v>5.899999999999995</v>
      </c>
      <c r="V75" s="1420">
        <f t="shared" si="67"/>
        <v>167.26204999999985</v>
      </c>
      <c r="W75" s="264">
        <f>453.6*(D75+E75/16)</f>
        <v>0</v>
      </c>
      <c r="X75" s="60" t="s">
        <v>290</v>
      </c>
      <c r="Y75" s="443"/>
      <c r="Z75" s="443"/>
      <c r="AA75" s="443"/>
      <c r="AB75" s="443"/>
      <c r="AC75" s="443"/>
      <c r="AD75" s="443"/>
      <c r="AE75" s="443"/>
      <c r="AF75" s="443"/>
      <c r="AG75" s="312"/>
      <c r="AH75" s="312"/>
      <c r="AI75" s="1528"/>
      <c r="AJ75" s="1529"/>
      <c r="AK75" s="1529"/>
      <c r="AL75" s="1530"/>
      <c r="AM75" s="1531"/>
      <c r="AN75" s="1531"/>
      <c r="AO75" s="1531"/>
      <c r="AP75" s="1531"/>
      <c r="AQ75" s="12"/>
      <c r="AR75" s="185"/>
    </row>
    <row r="76" spans="1:44" s="1" customFormat="1" ht="15" customHeight="1">
      <c r="A76" s="1789"/>
      <c r="B76" s="1829"/>
      <c r="C76" s="1893" t="str">
        <f>C151</f>
        <v>Honey (1 lb = 454g)</v>
      </c>
      <c r="D76" s="1834"/>
      <c r="E76" s="1834"/>
      <c r="F76" s="2123" t="str">
        <f>FIXED(W76,0)&amp;"g"</f>
        <v>0g</v>
      </c>
      <c r="G76" s="1835">
        <f t="shared" si="29"/>
        <v>0</v>
      </c>
      <c r="H76" s="2132">
        <f>IF(AC76=0,0,AC76*100/$AC$78)</f>
        <v>0</v>
      </c>
      <c r="I76" s="447"/>
      <c r="J76" s="221"/>
      <c r="K76" s="190">
        <f>L76*$D$111/$D$126</f>
        <v>8.493150684931507</v>
      </c>
      <c r="L76" s="2685">
        <v>10</v>
      </c>
      <c r="M76" s="2685"/>
      <c r="N76" s="190">
        <f>L76*$D$126/$D$111</f>
        <v>11.774193548387096</v>
      </c>
      <c r="O76" s="221"/>
      <c r="P76" s="1586"/>
      <c r="Q76" s="1586"/>
      <c r="R76" s="221"/>
      <c r="S76" s="221"/>
      <c r="T76" s="639"/>
      <c r="U76" s="1418">
        <f t="shared" si="27"/>
        <v>5.999999999999995</v>
      </c>
      <c r="V76" s="1420">
        <f t="shared" si="67"/>
        <v>170.09699999999984</v>
      </c>
      <c r="W76" s="264">
        <f>453.6*(D76+E76/16)</f>
        <v>0</v>
      </c>
      <c r="X76" s="60" t="s">
        <v>290</v>
      </c>
      <c r="Y76" s="214">
        <f>D151</f>
        <v>300</v>
      </c>
      <c r="Z76" s="214">
        <f>F151</f>
        <v>0.95</v>
      </c>
      <c r="AA76" s="214">
        <f>I151</f>
        <v>10</v>
      </c>
      <c r="AB76" s="214">
        <v>0</v>
      </c>
      <c r="AC76" s="311">
        <f>0.001*W76*Y76</f>
        <v>0</v>
      </c>
      <c r="AD76" s="214">
        <f t="shared" si="68"/>
        <v>0</v>
      </c>
      <c r="AE76" s="311">
        <f>0.01*W76*AA76</f>
        <v>0</v>
      </c>
      <c r="AF76" s="214"/>
      <c r="AG76" s="316"/>
      <c r="AH76" s="315"/>
      <c r="AI76" s="1529"/>
      <c r="AJ76" s="12"/>
      <c r="AK76" s="12"/>
      <c r="AL76" s="1530"/>
      <c r="AM76" s="1531"/>
      <c r="AN76" s="1531"/>
      <c r="AO76" s="1531"/>
      <c r="AP76" s="1531"/>
      <c r="AQ76" s="12"/>
      <c r="AR76" s="185"/>
    </row>
    <row r="77" spans="1:44" s="1" customFormat="1" ht="15" customHeight="1">
      <c r="A77" s="1789"/>
      <c r="B77" s="1829"/>
      <c r="C77" s="1906" t="s">
        <v>296</v>
      </c>
      <c r="D77" s="1907">
        <v>0.063</v>
      </c>
      <c r="E77" s="2696" t="str">
        <f>"oz/Imperial pt = "&amp;FIXED((D78/0.02)/(M78*28.35),2)&amp;" level tsp"</f>
        <v>oz/Imperial pt = 0.80 level tsp</v>
      </c>
      <c r="F77" s="2696"/>
      <c r="G77" s="2696"/>
      <c r="H77" s="2697"/>
      <c r="I77" s="447"/>
      <c r="J77" s="221"/>
      <c r="K77" s="221"/>
      <c r="L77" s="221"/>
      <c r="M77" s="221"/>
      <c r="N77" s="221"/>
      <c r="O77" s="221"/>
      <c r="P77" s="221"/>
      <c r="Q77" s="221"/>
      <c r="R77" s="221"/>
      <c r="S77" s="221"/>
      <c r="T77" s="640"/>
      <c r="U77" s="1418">
        <f t="shared" si="27"/>
        <v>6.099999999999994</v>
      </c>
      <c r="V77" s="1420">
        <f t="shared" si="67"/>
        <v>172.93194999999983</v>
      </c>
      <c r="W77" s="100">
        <f>D77/0.02</f>
        <v>3.15</v>
      </c>
      <c r="X77" s="282" t="s">
        <v>49</v>
      </c>
      <c r="Y77" s="313">
        <f>D147</f>
        <v>375</v>
      </c>
      <c r="Z77" s="313">
        <f>F147</f>
        <v>1</v>
      </c>
      <c r="AA77" s="311"/>
      <c r="AB77" s="314"/>
      <c r="AC77" s="515">
        <f>0.001*W77*Y77*D$23</f>
        <v>22.443749999999998</v>
      </c>
      <c r="AD77" s="314">
        <f>AC77*Z77</f>
        <v>22.443749999999998</v>
      </c>
      <c r="AE77" s="67">
        <f>SUM(AE33:AE76)/D23</f>
        <v>390.728652631579</v>
      </c>
      <c r="AF77" s="65" t="s">
        <v>457</v>
      </c>
      <c r="AG77" s="299"/>
      <c r="AH77" s="605">
        <f>0.01*AG78*(J5-J6)/(7.75-(3*(J5-1000)/800))</f>
        <v>0.2541973643144299</v>
      </c>
      <c r="AI77" s="1532" t="s">
        <v>103</v>
      </c>
      <c r="AJ77" s="12"/>
      <c r="AK77" s="12"/>
      <c r="AL77" s="1530"/>
      <c r="AM77" s="1531"/>
      <c r="AN77" s="1531"/>
      <c r="AO77" s="1531"/>
      <c r="AP77" s="1531"/>
      <c r="AQ77" s="12"/>
      <c r="AR77" s="185"/>
    </row>
    <row r="78" spans="1:44" s="1" customFormat="1" ht="15" customHeight="1">
      <c r="A78" s="1789"/>
      <c r="B78" s="1829"/>
      <c r="C78" s="619" t="s">
        <v>77</v>
      </c>
      <c r="D78" s="1909">
        <f>D77*16/20</f>
        <v>0.0504</v>
      </c>
      <c r="E78" s="2699" t="str">
        <f>"oz/US pt = "&amp;FIXED(D78/M78)&amp;" level tsp"</f>
        <v>oz/US pt = 0.45 level tsp</v>
      </c>
      <c r="F78" s="2699"/>
      <c r="G78" s="2699"/>
      <c r="H78" s="2700"/>
      <c r="I78" s="447"/>
      <c r="J78" s="221"/>
      <c r="K78" s="2514" t="s">
        <v>271</v>
      </c>
      <c r="L78" s="2677"/>
      <c r="M78" s="2257">
        <v>0.1111</v>
      </c>
      <c r="N78" s="2678" t="str">
        <f>"oz = "&amp;FIXED(M78*28.3495)&amp;"g"</f>
        <v>oz = 3.15g</v>
      </c>
      <c r="O78" s="2678"/>
      <c r="P78" s="221"/>
      <c r="Q78" s="221"/>
      <c r="R78" s="221"/>
      <c r="S78" s="221"/>
      <c r="T78" s="640"/>
      <c r="U78" s="1418">
        <f t="shared" si="27"/>
        <v>6.199999999999994</v>
      </c>
      <c r="V78" s="1420">
        <f t="shared" si="67"/>
        <v>175.76689999999982</v>
      </c>
      <c r="W78" s="565">
        <f>(SUM(W33:W76)+D23*W77)-W74</f>
        <v>2724.75</v>
      </c>
      <c r="X78" s="445"/>
      <c r="Y78" s="313"/>
      <c r="Z78" s="313"/>
      <c r="AA78" s="311"/>
      <c r="AB78" s="475" t="s">
        <v>584</v>
      </c>
      <c r="AC78" s="62">
        <f>AC77+SUM(AC33:AC76)</f>
        <v>861.0509250000001</v>
      </c>
      <c r="AD78" s="314"/>
      <c r="AE78" s="313"/>
      <c r="AF78" s="313"/>
      <c r="AG78" s="606">
        <f>7.01*0.7894</f>
        <v>5.533694</v>
      </c>
      <c r="AH78" s="605">
        <f>0.00000001*J6*((1000*J5)/AG78+(819.2*J6)-1000400)</f>
        <v>0.1647217728109146</v>
      </c>
      <c r="AI78" s="1532" t="s">
        <v>103</v>
      </c>
      <c r="AJ78" s="12"/>
      <c r="AK78" s="12"/>
      <c r="AL78" s="1530"/>
      <c r="AM78" s="1531"/>
      <c r="AN78" s="1531"/>
      <c r="AO78" s="1531"/>
      <c r="AP78" s="1531"/>
      <c r="AQ78" s="12"/>
      <c r="AR78" s="185"/>
    </row>
    <row r="79" spans="1:44" s="1" customFormat="1" ht="15" customHeight="1">
      <c r="A79" s="267"/>
      <c r="B79" s="393"/>
      <c r="C79" s="619" t="s">
        <v>77</v>
      </c>
      <c r="D79" s="2157">
        <f>W77</f>
        <v>3.15</v>
      </c>
      <c r="E79" s="2694" t="str">
        <f>"g/litre = "&amp;FIXED(D79/3.15)&amp;" tsp"</f>
        <v>g/litre = 1.00 tsp</v>
      </c>
      <c r="F79" s="2694"/>
      <c r="G79" s="2136">
        <f>100*IF(W77=0,0,W77*D23/$W$78)</f>
        <v>2.1965317919075145</v>
      </c>
      <c r="H79" s="2132">
        <f>IF(AC77=0,0,AC77*100/$AC$78)</f>
        <v>2.6065531489905776</v>
      </c>
      <c r="I79" s="447"/>
      <c r="J79" s="221"/>
      <c r="K79" s="2554" t="s">
        <v>689</v>
      </c>
      <c r="L79" s="2555"/>
      <c r="M79" s="2556"/>
      <c r="N79" s="1823"/>
      <c r="O79" s="1823"/>
      <c r="P79" s="221"/>
      <c r="Q79" s="221"/>
      <c r="R79" s="221"/>
      <c r="S79" s="221"/>
      <c r="T79" s="640"/>
      <c r="U79" s="1418">
        <f t="shared" si="27"/>
        <v>6.299999999999994</v>
      </c>
      <c r="V79" s="1420">
        <f t="shared" si="67"/>
        <v>178.6018499999998</v>
      </c>
      <c r="W79" s="445"/>
      <c r="X79" s="445"/>
      <c r="AA79" s="12"/>
      <c r="AB79" s="12"/>
      <c r="AC79" s="12"/>
      <c r="AD79" s="12"/>
      <c r="AE79" s="12"/>
      <c r="AF79" s="12"/>
      <c r="AG79" s="1533"/>
      <c r="AH79" s="605">
        <f>SUM(AH77:AH78)</f>
        <v>0.4189191371253445</v>
      </c>
      <c r="AI79" s="1532" t="s">
        <v>103</v>
      </c>
      <c r="AJ79" s="12"/>
      <c r="AK79" s="12"/>
      <c r="AL79" s="1529"/>
      <c r="AM79" s="1531"/>
      <c r="AN79" s="1531"/>
      <c r="AO79" s="1531"/>
      <c r="AP79" s="1531"/>
      <c r="AQ79" s="1531"/>
      <c r="AR79" s="185"/>
    </row>
    <row r="80" spans="1:44" s="1" customFormat="1" ht="15" customHeight="1">
      <c r="A80" s="267"/>
      <c r="B80" s="393"/>
      <c r="C80" s="1910" t="s">
        <v>534</v>
      </c>
      <c r="D80" s="1911">
        <f>W77*$Z$80+VLOOKUP($D$25,$Y$83:$Z$113,2)</f>
        <v>1.7032631578947366</v>
      </c>
      <c r="E80" s="2159" t="str">
        <f>FIXED(W78/453.6)&amp;" lbs"</f>
        <v>6.01 lbs</v>
      </c>
      <c r="F80" s="2160" t="str">
        <f>FIXED((W78),0)&amp;"g"</f>
        <v>2,725g</v>
      </c>
      <c r="G80" s="2161" t="s">
        <v>445</v>
      </c>
      <c r="H80" s="2162"/>
      <c r="I80" s="447"/>
      <c r="J80" s="1790"/>
      <c r="K80" s="1912" t="s">
        <v>106</v>
      </c>
      <c r="L80" s="1912" t="s">
        <v>270</v>
      </c>
      <c r="M80" s="1912" t="s">
        <v>269</v>
      </c>
      <c r="N80" s="1823"/>
      <c r="O80" s="1823"/>
      <c r="P80" s="221"/>
      <c r="Q80" s="221"/>
      <c r="R80" s="221"/>
      <c r="S80" s="221"/>
      <c r="T80" s="640"/>
      <c r="U80" s="1418">
        <f t="shared" si="27"/>
        <v>6.399999999999993</v>
      </c>
      <c r="V80" s="1420">
        <f t="shared" si="67"/>
        <v>181.4367999999998</v>
      </c>
      <c r="W80" s="439"/>
      <c r="X80" s="439"/>
      <c r="Y80" s="10" t="s">
        <v>384</v>
      </c>
      <c r="Z80" s="11">
        <f>89.6/342</f>
        <v>0.2619883040935672</v>
      </c>
      <c r="AA80" s="61"/>
      <c r="AB80" s="1534"/>
      <c r="AC80" s="1535"/>
      <c r="AD80" s="1534"/>
      <c r="AE80" s="1531"/>
      <c r="AF80" s="1531"/>
      <c r="AG80" s="1536"/>
      <c r="AH80" s="24"/>
      <c r="AI80" s="24"/>
      <c r="AJ80" s="24"/>
      <c r="AK80" s="24"/>
      <c r="AL80" s="24"/>
      <c r="AM80" s="24"/>
      <c r="AN80" s="24"/>
      <c r="AO80" s="24"/>
      <c r="AP80" s="24"/>
      <c r="AQ80" s="24"/>
      <c r="AR80" s="185"/>
    </row>
    <row r="81" spans="1:44" s="1" customFormat="1" ht="15" customHeight="1">
      <c r="A81" s="267"/>
      <c r="B81" s="393"/>
      <c r="C81" s="2686" t="s">
        <v>87</v>
      </c>
      <c r="D81" s="2686"/>
      <c r="E81" s="2686"/>
      <c r="F81" s="2686"/>
      <c r="G81" s="2686"/>
      <c r="H81" s="2687"/>
      <c r="I81"/>
      <c r="J81" s="221"/>
      <c r="K81" s="1473">
        <v>1</v>
      </c>
      <c r="L81" s="1464">
        <f>K81*M78</f>
        <v>0.1111</v>
      </c>
      <c r="M81" s="1474">
        <f>K81*M78*28.3495</f>
        <v>3.14962945</v>
      </c>
      <c r="N81" s="1823"/>
      <c r="O81" s="1823"/>
      <c r="P81" s="221"/>
      <c r="Q81" s="221"/>
      <c r="R81" s="221"/>
      <c r="S81" s="221"/>
      <c r="T81" s="640"/>
      <c r="U81" s="1418">
        <f t="shared" si="27"/>
        <v>6.499999999999993</v>
      </c>
      <c r="V81" s="1420">
        <f t="shared" si="67"/>
        <v>184.2717499999998</v>
      </c>
      <c r="W81" s="236"/>
      <c r="X81" s="236"/>
      <c r="Y81" s="16" t="s">
        <v>358</v>
      </c>
      <c r="Z81" s="17" t="s">
        <v>388</v>
      </c>
      <c r="AA81" s="1531"/>
      <c r="AB81" s="12"/>
      <c r="AC81" s="12"/>
      <c r="AD81" s="1531"/>
      <c r="AE81" s="1531"/>
      <c r="AF81" s="1531"/>
      <c r="AG81" s="69"/>
      <c r="AH81" s="28"/>
      <c r="AI81" s="28"/>
      <c r="AJ81" s="28"/>
      <c r="AK81" s="28"/>
      <c r="AL81" s="28"/>
      <c r="AM81" s="28"/>
      <c r="AN81" s="28"/>
      <c r="AO81" s="28"/>
      <c r="AP81" s="28"/>
      <c r="AQ81" s="28"/>
      <c r="AR81" s="185"/>
    </row>
    <row r="82" spans="1:44" s="1" customFormat="1" ht="15" customHeight="1">
      <c r="A82" s="267"/>
      <c r="B82" s="393"/>
      <c r="C82" s="1910" t="s">
        <v>446</v>
      </c>
      <c r="D82" s="1459" t="s">
        <v>447</v>
      </c>
      <c r="E82" s="444"/>
      <c r="F82" s="444" t="s">
        <v>448</v>
      </c>
      <c r="G82" s="1913">
        <f>SUM(G33:G79)/100</f>
        <v>1</v>
      </c>
      <c r="H82" s="1914">
        <f>SUM(G33:G79)/100</f>
        <v>1</v>
      </c>
      <c r="I82" s="447"/>
      <c r="J82" s="221"/>
      <c r="K82" s="221"/>
      <c r="L82" s="221"/>
      <c r="M82" s="221"/>
      <c r="N82" s="1823"/>
      <c r="O82" s="370"/>
      <c r="P82" s="221"/>
      <c r="Q82" s="221"/>
      <c r="R82" s="221"/>
      <c r="S82" s="221"/>
      <c r="T82" s="640"/>
      <c r="U82" s="1418">
        <f t="shared" si="27"/>
        <v>6.5999999999999925</v>
      </c>
      <c r="V82" s="1420">
        <f t="shared" si="67"/>
        <v>187.1066999999998</v>
      </c>
      <c r="W82" s="440"/>
      <c r="X82" s="440"/>
      <c r="Y82" s="18" t="s">
        <v>359</v>
      </c>
      <c r="Z82" s="19" t="s">
        <v>360</v>
      </c>
      <c r="AB82" s="24"/>
      <c r="AC82" s="62"/>
      <c r="AD82" s="24"/>
      <c r="AE82" s="24"/>
      <c r="AF82" s="24"/>
      <c r="AG82" s="28"/>
      <c r="AH82" s="28"/>
      <c r="AI82" s="28"/>
      <c r="AJ82" s="28"/>
      <c r="AK82" s="28"/>
      <c r="AL82" s="28"/>
      <c r="AM82" s="28"/>
      <c r="AN82" s="28"/>
      <c r="AO82" s="28"/>
      <c r="AP82" s="28"/>
      <c r="AQ82" s="28"/>
      <c r="AR82" s="185"/>
    </row>
    <row r="83" spans="1:44" s="1" customFormat="1" ht="15" customHeight="1">
      <c r="A83" s="267"/>
      <c r="B83" s="427"/>
      <c r="C83" s="616" t="s">
        <v>280</v>
      </c>
      <c r="D83" s="1915">
        <v>76</v>
      </c>
      <c r="E83" s="2698" t="s">
        <v>127</v>
      </c>
      <c r="F83" s="2698"/>
      <c r="G83" s="617"/>
      <c r="H83" s="618"/>
      <c r="I83" s="447"/>
      <c r="J83" s="245"/>
      <c r="K83" s="221"/>
      <c r="L83" s="221"/>
      <c r="M83" s="221"/>
      <c r="N83" s="221"/>
      <c r="O83" s="221"/>
      <c r="P83" s="221"/>
      <c r="Q83" s="221"/>
      <c r="R83" s="236"/>
      <c r="S83" s="236"/>
      <c r="T83" s="640"/>
      <c r="U83" s="1418">
        <f t="shared" si="27"/>
        <v>6.699999999999992</v>
      </c>
      <c r="V83" s="1420">
        <f t="shared" si="67"/>
        <v>189.94164999999978</v>
      </c>
      <c r="W83" s="440"/>
      <c r="X83" s="440"/>
      <c r="Y83" s="1180">
        <v>0</v>
      </c>
      <c r="Z83" s="1181">
        <v>1.713</v>
      </c>
      <c r="AA83" s="57"/>
      <c r="AB83" s="57"/>
      <c r="AC83" s="57"/>
      <c r="AD83" s="57"/>
      <c r="AE83" s="60"/>
      <c r="AF83" s="60"/>
      <c r="AG83" s="51"/>
      <c r="AH83" s="51"/>
      <c r="AI83" s="51"/>
      <c r="AJ83" s="51"/>
      <c r="AK83" s="51"/>
      <c r="AL83" s="51"/>
      <c r="AM83" s="51"/>
      <c r="AN83" s="51"/>
      <c r="AO83" s="51"/>
      <c r="AP83" s="51"/>
      <c r="AQ83" s="28"/>
      <c r="AR83" s="185"/>
    </row>
    <row r="84" spans="1:44" s="1" customFormat="1" ht="15" customHeight="1">
      <c r="A84" s="267"/>
      <c r="B84" s="395"/>
      <c r="C84" s="395"/>
      <c r="D84" s="395"/>
      <c r="E84" s="395"/>
      <c r="F84" s="395"/>
      <c r="G84" s="395"/>
      <c r="H84" s="395"/>
      <c r="I84" s="395"/>
      <c r="J84" s="395"/>
      <c r="K84" s="395"/>
      <c r="L84" s="395"/>
      <c r="M84" s="395"/>
      <c r="N84" s="395"/>
      <c r="O84" s="395"/>
      <c r="P84" s="236"/>
      <c r="Q84" s="236"/>
      <c r="R84" s="236"/>
      <c r="S84" s="238"/>
      <c r="T84" s="640"/>
      <c r="U84" s="1418">
        <f t="shared" si="27"/>
        <v>6.799999999999992</v>
      </c>
      <c r="V84" s="1420">
        <f t="shared" si="67"/>
        <v>192.77659999999977</v>
      </c>
      <c r="W84" s="213"/>
      <c r="X84" s="213"/>
      <c r="Y84" s="1184">
        <f aca="true" t="shared" si="69" ref="Y84:Y97">Y83+1</f>
        <v>1</v>
      </c>
      <c r="Z84" s="1185">
        <v>1.646</v>
      </c>
      <c r="AA84" s="57"/>
      <c r="AB84" s="57"/>
      <c r="AC84" s="57"/>
      <c r="AD84" s="57"/>
      <c r="AE84" s="60"/>
      <c r="AF84" s="60"/>
      <c r="AG84" s="7"/>
      <c r="AH84" s="7"/>
      <c r="AI84" s="7"/>
      <c r="AJ84" s="8" t="s">
        <v>382</v>
      </c>
      <c r="AK84" s="9"/>
      <c r="AL84" s="8" t="s">
        <v>383</v>
      </c>
      <c r="AM84" s="8" t="s">
        <v>383</v>
      </c>
      <c r="AN84" s="8" t="s">
        <v>383</v>
      </c>
      <c r="AO84" s="8" t="s">
        <v>383</v>
      </c>
      <c r="AP84" s="8" t="s">
        <v>383</v>
      </c>
      <c r="AQ84" s="8" t="s">
        <v>383</v>
      </c>
      <c r="AR84" s="185"/>
    </row>
    <row r="85" spans="1:44" s="1" customFormat="1" ht="13.5" customHeight="1">
      <c r="A85" s="267"/>
      <c r="B85" s="407"/>
      <c r="C85" s="228"/>
      <c r="D85" s="1830"/>
      <c r="E85" s="228"/>
      <c r="F85" s="1830"/>
      <c r="G85" s="1471"/>
      <c r="H85" s="1916"/>
      <c r="I85" s="1916"/>
      <c r="J85" s="245"/>
      <c r="K85" s="2680"/>
      <c r="L85" s="2680"/>
      <c r="M85" s="438"/>
      <c r="N85" s="2681"/>
      <c r="O85" s="2681"/>
      <c r="P85" s="2681"/>
      <c r="Q85" s="2681"/>
      <c r="R85" s="236"/>
      <c r="S85" s="238"/>
      <c r="T85" s="640"/>
      <c r="U85" s="1418">
        <f t="shared" si="27"/>
        <v>6.8999999999999915</v>
      </c>
      <c r="V85" s="1420">
        <f t="shared" si="67"/>
        <v>195.61154999999974</v>
      </c>
      <c r="W85" s="169"/>
      <c r="X85" s="169"/>
      <c r="Y85" s="1180">
        <f t="shared" si="69"/>
        <v>2</v>
      </c>
      <c r="Z85" s="1181">
        <v>1.584</v>
      </c>
      <c r="AA85" s="60"/>
      <c r="AB85" s="60"/>
      <c r="AC85" s="61"/>
      <c r="AD85" s="60"/>
      <c r="AE85" s="60"/>
      <c r="AF85" s="60"/>
      <c r="AG85" s="5"/>
      <c r="AH85" s="5"/>
      <c r="AI85" s="5"/>
      <c r="AR85" s="185"/>
    </row>
    <row r="86" spans="1:44" s="1" customFormat="1" ht="13.5" customHeight="1">
      <c r="A86" s="267"/>
      <c r="B86" s="407"/>
      <c r="C86" s="229"/>
      <c r="D86" s="1830"/>
      <c r="E86" s="229"/>
      <c r="F86" s="1830"/>
      <c r="G86" s="231"/>
      <c r="H86" s="231"/>
      <c r="I86" s="231"/>
      <c r="J86" s="232"/>
      <c r="K86" s="232"/>
      <c r="L86" s="232"/>
      <c r="M86" s="232"/>
      <c r="N86" s="232"/>
      <c r="O86" s="232"/>
      <c r="P86" s="232"/>
      <c r="Q86" s="232"/>
      <c r="R86" s="221"/>
      <c r="S86" s="1823"/>
      <c r="T86" s="640"/>
      <c r="U86" s="1418">
        <f t="shared" si="27"/>
        <v>6.999999999999991</v>
      </c>
      <c r="V86" s="1420">
        <f t="shared" si="67"/>
        <v>198.44649999999973</v>
      </c>
      <c r="W86" s="169"/>
      <c r="X86" s="169"/>
      <c r="Y86" s="1180">
        <f t="shared" si="69"/>
        <v>3</v>
      </c>
      <c r="Z86" s="1181">
        <v>1.55</v>
      </c>
      <c r="AA86" s="7"/>
      <c r="AB86" s="7"/>
      <c r="AC86" s="7"/>
      <c r="AD86" s="7"/>
      <c r="AE86" s="7"/>
      <c r="AF86" s="7"/>
      <c r="AG86" s="5"/>
      <c r="AH86" s="5"/>
      <c r="AI86" s="5"/>
      <c r="AJ86" s="63"/>
      <c r="AK86" s="63"/>
      <c r="AL86" s="63"/>
      <c r="AM86" s="63"/>
      <c r="AN86" s="63"/>
      <c r="AO86" s="63"/>
      <c r="AP86" s="63"/>
      <c r="AQ86" s="5"/>
      <c r="AR86" s="185"/>
    </row>
    <row r="87" spans="1:44" s="1" customFormat="1" ht="13.5" customHeight="1">
      <c r="A87" s="267"/>
      <c r="B87" s="233"/>
      <c r="C87" s="233"/>
      <c r="D87" s="233"/>
      <c r="E87" s="233"/>
      <c r="F87" s="233"/>
      <c r="G87" s="233"/>
      <c r="H87" s="233"/>
      <c r="I87" s="233"/>
      <c r="J87" s="234"/>
      <c r="K87" s="234"/>
      <c r="L87" s="216"/>
      <c r="M87" s="235"/>
      <c r="N87" s="236"/>
      <c r="O87" s="1917"/>
      <c r="P87" s="1917"/>
      <c r="Q87" s="1917"/>
      <c r="R87" s="221"/>
      <c r="S87" s="1823"/>
      <c r="T87" s="640"/>
      <c r="U87" s="1418">
        <f t="shared" si="27"/>
        <v>7.099999999999991</v>
      </c>
      <c r="V87" s="1420">
        <f t="shared" si="67"/>
        <v>201.28144999999972</v>
      </c>
      <c r="W87" s="169"/>
      <c r="X87" s="169"/>
      <c r="Y87" s="1180">
        <f t="shared" si="69"/>
        <v>4</v>
      </c>
      <c r="Z87" s="1181">
        <v>1.473</v>
      </c>
      <c r="AA87" s="449"/>
      <c r="AB87" s="449"/>
      <c r="AC87" s="449"/>
      <c r="AD87" s="449"/>
      <c r="AE87" s="449"/>
      <c r="AF87" s="449"/>
      <c r="AG87" s="5"/>
      <c r="AH87" s="5"/>
      <c r="AI87" s="5"/>
      <c r="AJ87" s="63"/>
      <c r="AK87" s="63"/>
      <c r="AL87" s="63"/>
      <c r="AM87" s="63"/>
      <c r="AN87" s="63"/>
      <c r="AO87" s="63"/>
      <c r="AP87" s="63"/>
      <c r="AQ87" s="5"/>
      <c r="AR87" s="185"/>
    </row>
    <row r="88" spans="1:44" s="1" customFormat="1" ht="13.5" customHeight="1">
      <c r="A88" s="267"/>
      <c r="B88" s="407"/>
      <c r="C88" s="233"/>
      <c r="D88" s="1830"/>
      <c r="E88" s="233"/>
      <c r="F88" s="1830"/>
      <c r="G88" s="236"/>
      <c r="H88" s="236"/>
      <c r="I88" s="236"/>
      <c r="J88" s="236"/>
      <c r="K88" s="236"/>
      <c r="L88" s="216"/>
      <c r="M88" s="235"/>
      <c r="N88" s="1917"/>
      <c r="O88" s="1917"/>
      <c r="P88" s="1917"/>
      <c r="Q88" s="1917"/>
      <c r="R88" s="221"/>
      <c r="S88" s="1823"/>
      <c r="T88" s="640"/>
      <c r="U88" s="1418">
        <f t="shared" si="27"/>
        <v>7.19999999999999</v>
      </c>
      <c r="V88" s="1420">
        <f t="shared" si="67"/>
        <v>204.11639999999971</v>
      </c>
      <c r="W88" s="169"/>
      <c r="X88" s="169"/>
      <c r="Y88" s="1187">
        <f t="shared" si="69"/>
        <v>5</v>
      </c>
      <c r="Z88" s="1181">
        <v>1.424</v>
      </c>
      <c r="AA88" s="449"/>
      <c r="AB88" s="25" t="s">
        <v>384</v>
      </c>
      <c r="AC88" s="26">
        <f>D83/62</f>
        <v>1.2258064516129032</v>
      </c>
      <c r="AD88" s="3" t="s">
        <v>83</v>
      </c>
      <c r="AE88" s="64"/>
      <c r="AF88" s="64"/>
      <c r="AG88" s="5"/>
      <c r="AH88" s="5"/>
      <c r="AI88" s="5"/>
      <c r="AJ88" s="63"/>
      <c r="AK88" s="63"/>
      <c r="AL88" s="63"/>
      <c r="AM88" s="63"/>
      <c r="AN88" s="63"/>
      <c r="AO88" s="63"/>
      <c r="AP88" s="63"/>
      <c r="AQ88" s="5"/>
      <c r="AR88" s="185"/>
    </row>
    <row r="89" spans="1:44" s="1" customFormat="1" ht="13.5" customHeight="1">
      <c r="A89" s="267"/>
      <c r="B89" s="407"/>
      <c r="C89" s="233"/>
      <c r="D89" s="233"/>
      <c r="E89" s="233"/>
      <c r="F89" s="236"/>
      <c r="G89" s="236"/>
      <c r="H89" s="236"/>
      <c r="I89" s="236"/>
      <c r="J89" s="236"/>
      <c r="K89" s="236"/>
      <c r="L89" s="236"/>
      <c r="M89" s="237"/>
      <c r="N89" s="236"/>
      <c r="O89" s="236"/>
      <c r="P89" s="236"/>
      <c r="Q89" s="236"/>
      <c r="R89" s="221"/>
      <c r="S89" s="1823"/>
      <c r="T89" s="169"/>
      <c r="U89" s="1418">
        <f t="shared" si="27"/>
        <v>7.29999999999999</v>
      </c>
      <c r="V89" s="1420">
        <f t="shared" si="67"/>
        <v>206.9513499999997</v>
      </c>
      <c r="W89" s="169"/>
      <c r="X89" s="169"/>
      <c r="Y89" s="1187">
        <f t="shared" si="69"/>
        <v>6</v>
      </c>
      <c r="Z89" s="1181">
        <v>1.377</v>
      </c>
      <c r="AA89" s="449"/>
      <c r="AB89" s="465" t="s">
        <v>372</v>
      </c>
      <c r="AC89" s="478">
        <f>(SUM(AD33:AD76)-AD71-AD68)/D23</f>
        <v>27.365076236842103</v>
      </c>
      <c r="AD89" s="65" t="s">
        <v>453</v>
      </c>
      <c r="AE89" s="65" t="s">
        <v>454</v>
      </c>
      <c r="AF89" s="65"/>
      <c r="AG89" s="5"/>
      <c r="AH89" s="5"/>
      <c r="AI89" s="5"/>
      <c r="AJ89" s="63"/>
      <c r="AK89" s="63"/>
      <c r="AL89" s="63"/>
      <c r="AM89" s="63"/>
      <c r="AN89" s="63"/>
      <c r="AO89" s="63"/>
      <c r="AP89" s="63"/>
      <c r="AQ89" s="5"/>
      <c r="AR89" s="185"/>
    </row>
    <row r="90" spans="1:44" s="1" customFormat="1" ht="13.5" customHeight="1">
      <c r="A90" s="267"/>
      <c r="B90" s="407"/>
      <c r="C90" s="233"/>
      <c r="D90" s="233"/>
      <c r="E90" s="233"/>
      <c r="F90" s="236"/>
      <c r="G90" s="236"/>
      <c r="H90" s="236"/>
      <c r="I90" s="236"/>
      <c r="J90" s="238"/>
      <c r="K90" s="238"/>
      <c r="L90" s="216"/>
      <c r="M90" s="235"/>
      <c r="N90" s="236"/>
      <c r="O90" s="1917"/>
      <c r="P90" s="1917"/>
      <c r="Q90" s="1917"/>
      <c r="R90" s="221"/>
      <c r="S90" s="1823"/>
      <c r="T90" s="169"/>
      <c r="U90" s="1418">
        <f t="shared" si="27"/>
        <v>7.39999999999999</v>
      </c>
      <c r="V90" s="1420">
        <f t="shared" si="67"/>
        <v>209.7862999999997</v>
      </c>
      <c r="W90" s="169"/>
      <c r="X90" s="169"/>
      <c r="Y90" s="1187">
        <f t="shared" si="69"/>
        <v>7</v>
      </c>
      <c r="Z90" s="1181">
        <v>1.331</v>
      </c>
      <c r="AA90" s="449"/>
      <c r="AG90" s="5"/>
      <c r="AH90" s="5"/>
      <c r="AI90" s="5"/>
      <c r="AJ90" s="63"/>
      <c r="AK90" s="63"/>
      <c r="AL90" s="63"/>
      <c r="AM90" s="63"/>
      <c r="AN90" s="63"/>
      <c r="AO90" s="63"/>
      <c r="AP90" s="63"/>
      <c r="AQ90" s="5"/>
      <c r="AR90" s="185"/>
    </row>
    <row r="91" spans="1:44" s="1" customFormat="1" ht="13.5" customHeight="1">
      <c r="A91" s="267"/>
      <c r="B91" s="407"/>
      <c r="C91" s="233"/>
      <c r="D91" s="233"/>
      <c r="E91" s="233"/>
      <c r="F91" s="236"/>
      <c r="G91" s="236"/>
      <c r="H91" s="236"/>
      <c r="I91" s="236"/>
      <c r="J91" s="236"/>
      <c r="K91" s="236"/>
      <c r="L91" s="216"/>
      <c r="M91" s="235"/>
      <c r="N91" s="1917"/>
      <c r="O91" s="1917"/>
      <c r="P91" s="1917"/>
      <c r="Q91" s="1917"/>
      <c r="R91" s="221"/>
      <c r="S91" s="1823"/>
      <c r="T91" s="169"/>
      <c r="U91" s="1418">
        <f t="shared" si="27"/>
        <v>7.499999999999989</v>
      </c>
      <c r="V91" s="1420">
        <f t="shared" si="67"/>
        <v>212.6212499999997</v>
      </c>
      <c r="W91" s="169"/>
      <c r="X91" s="169"/>
      <c r="Y91" s="1187">
        <f t="shared" si="69"/>
        <v>8</v>
      </c>
      <c r="Z91" s="1181">
        <v>1.282</v>
      </c>
      <c r="AA91" s="449"/>
      <c r="AB91" s="465" t="s">
        <v>373</v>
      </c>
      <c r="AC91" s="467">
        <f>(1.07993715174291*(AC71+AC72+W77*(0.375*D23))/D23)</f>
        <v>1.2756757604963123</v>
      </c>
      <c r="AD91" s="3" t="s">
        <v>84</v>
      </c>
      <c r="AG91" s="449"/>
      <c r="AH91" s="5"/>
      <c r="AI91" s="5"/>
      <c r="AJ91" s="63"/>
      <c r="AK91" s="63"/>
      <c r="AL91" s="63"/>
      <c r="AM91" s="63"/>
      <c r="AN91" s="63"/>
      <c r="AO91" s="63"/>
      <c r="AP91" s="63"/>
      <c r="AQ91" s="5"/>
      <c r="AR91" s="185"/>
    </row>
    <row r="92" spans="1:44" s="1" customFormat="1" ht="13.5" customHeight="1">
      <c r="A92" s="267"/>
      <c r="B92" s="407"/>
      <c r="C92" s="233"/>
      <c r="D92" s="233"/>
      <c r="E92" s="233"/>
      <c r="F92" s="236"/>
      <c r="G92" s="236"/>
      <c r="H92" s="236"/>
      <c r="I92" s="236"/>
      <c r="J92" s="236"/>
      <c r="K92" s="236"/>
      <c r="L92" s="216"/>
      <c r="M92" s="235"/>
      <c r="N92" s="1917"/>
      <c r="O92" s="1917"/>
      <c r="P92" s="1917"/>
      <c r="Q92" s="1917"/>
      <c r="R92" s="221"/>
      <c r="S92" s="1823"/>
      <c r="T92" s="169"/>
      <c r="U92" s="1418">
        <f t="shared" si="27"/>
        <v>7.599999999999989</v>
      </c>
      <c r="V92" s="1420">
        <f t="shared" si="67"/>
        <v>215.45619999999968</v>
      </c>
      <c r="W92" s="169"/>
      <c r="X92" s="169"/>
      <c r="Y92" s="1187">
        <f t="shared" si="69"/>
        <v>9</v>
      </c>
      <c r="Z92" s="1181">
        <v>1.237</v>
      </c>
      <c r="AA92" s="449"/>
      <c r="AB92" s="465" t="s">
        <v>82</v>
      </c>
      <c r="AC92" s="1">
        <f>(1.07993715174291*(AC71+AC72)/D23)</f>
        <v>0</v>
      </c>
      <c r="AD92" s="3" t="s">
        <v>85</v>
      </c>
      <c r="AG92" s="449"/>
      <c r="AH92" s="5"/>
      <c r="AI92" s="5"/>
      <c r="AJ92" s="63"/>
      <c r="AK92" s="63"/>
      <c r="AL92" s="63"/>
      <c r="AM92" s="63"/>
      <c r="AN92" s="63"/>
      <c r="AO92" s="63"/>
      <c r="AP92" s="63"/>
      <c r="AQ92" s="5"/>
      <c r="AR92" s="185"/>
    </row>
    <row r="93" spans="1:44" s="1" customFormat="1" ht="13.5" customHeight="1">
      <c r="A93" s="267"/>
      <c r="B93" s="407"/>
      <c r="C93" s="233"/>
      <c r="D93" s="233"/>
      <c r="E93" s="233"/>
      <c r="F93" s="236"/>
      <c r="G93" s="236"/>
      <c r="H93" s="236"/>
      <c r="I93" s="236"/>
      <c r="J93" s="236"/>
      <c r="K93" s="236"/>
      <c r="L93" s="216"/>
      <c r="M93" s="235"/>
      <c r="N93" s="1917"/>
      <c r="O93" s="1917"/>
      <c r="P93" s="1917"/>
      <c r="Q93" s="1917"/>
      <c r="R93" s="221"/>
      <c r="S93" s="1823"/>
      <c r="T93" s="169"/>
      <c r="U93" s="1418">
        <f>U92+0.1</f>
        <v>7.699999999999989</v>
      </c>
      <c r="V93" s="1420">
        <f t="shared" si="67"/>
        <v>218.29114999999967</v>
      </c>
      <c r="W93" s="169"/>
      <c r="X93" s="169"/>
      <c r="Y93" s="1187">
        <f t="shared" si="69"/>
        <v>10</v>
      </c>
      <c r="Z93" s="1181">
        <v>1.194</v>
      </c>
      <c r="AA93" s="449"/>
      <c r="AB93" s="449"/>
      <c r="AC93" s="466" t="s">
        <v>633</v>
      </c>
      <c r="AD93" s="466"/>
      <c r="AE93" s="466"/>
      <c r="AF93" s="449"/>
      <c r="AG93" s="449"/>
      <c r="AH93" s="5"/>
      <c r="AI93" s="5"/>
      <c r="AJ93" s="63"/>
      <c r="AK93" s="63"/>
      <c r="AL93" s="63"/>
      <c r="AM93" s="63"/>
      <c r="AN93" s="63"/>
      <c r="AO93" s="63"/>
      <c r="AP93" s="63"/>
      <c r="AQ93" s="5"/>
      <c r="AR93" s="185"/>
    </row>
    <row r="94" spans="1:44" s="1" customFormat="1" ht="13.5" customHeight="1">
      <c r="A94" s="267"/>
      <c r="B94" s="407"/>
      <c r="C94" s="233"/>
      <c r="D94" s="233"/>
      <c r="E94" s="233"/>
      <c r="F94" s="236"/>
      <c r="G94" s="236"/>
      <c r="H94" s="236"/>
      <c r="I94" s="236"/>
      <c r="J94" s="232"/>
      <c r="K94" s="234"/>
      <c r="L94" s="236"/>
      <c r="M94" s="239"/>
      <c r="N94" s="236"/>
      <c r="O94" s="236"/>
      <c r="P94" s="236"/>
      <c r="Q94" s="236"/>
      <c r="R94" s="221"/>
      <c r="S94" s="1823"/>
      <c r="T94" s="169"/>
      <c r="U94" s="1418">
        <f aca="true" t="shared" si="70" ref="U94:U99">U93+0.1</f>
        <v>7.799999999999988</v>
      </c>
      <c r="V94" s="1420">
        <f t="shared" si="67"/>
        <v>221.12609999999967</v>
      </c>
      <c r="W94" s="169"/>
      <c r="X94" s="169"/>
      <c r="Y94" s="1187">
        <f t="shared" si="69"/>
        <v>11</v>
      </c>
      <c r="Z94" s="1181">
        <v>1.154</v>
      </c>
      <c r="AA94" s="449"/>
      <c r="AB94" s="383" t="s">
        <v>151</v>
      </c>
      <c r="AC94" s="476">
        <f>(AD77+(SUM(AC33:AC76)))/D23</f>
        <v>45.31846973684211</v>
      </c>
      <c r="AD94" s="65" t="s">
        <v>453</v>
      </c>
      <c r="AE94" s="66" t="s">
        <v>456</v>
      </c>
      <c r="AF94" s="449"/>
      <c r="AG94" s="449"/>
      <c r="AH94" s="5"/>
      <c r="AI94" s="5"/>
      <c r="AJ94" s="63"/>
      <c r="AK94" s="63"/>
      <c r="AL94" s="63"/>
      <c r="AM94" s="63"/>
      <c r="AN94" s="63"/>
      <c r="AO94" s="63"/>
      <c r="AP94" s="63"/>
      <c r="AQ94" s="5"/>
      <c r="AR94" s="185"/>
    </row>
    <row r="95" spans="1:44" s="1" customFormat="1" ht="13.5" customHeight="1">
      <c r="A95" s="267"/>
      <c r="B95" s="407"/>
      <c r="C95" s="233"/>
      <c r="D95" s="233"/>
      <c r="E95" s="233"/>
      <c r="F95" s="236"/>
      <c r="G95" s="236"/>
      <c r="H95" s="236"/>
      <c r="I95" s="236"/>
      <c r="J95" s="232"/>
      <c r="K95" s="232"/>
      <c r="L95" s="216"/>
      <c r="M95" s="235"/>
      <c r="N95" s="236"/>
      <c r="O95" s="240"/>
      <c r="P95" s="241"/>
      <c r="Q95" s="236"/>
      <c r="R95" s="221"/>
      <c r="S95" s="1823"/>
      <c r="T95" s="169"/>
      <c r="U95" s="1418">
        <f t="shared" si="70"/>
        <v>7.899999999999988</v>
      </c>
      <c r="V95" s="1420">
        <f t="shared" si="67"/>
        <v>223.96104999999966</v>
      </c>
      <c r="W95" s="169"/>
      <c r="X95" s="169"/>
      <c r="Y95" s="1187">
        <f t="shared" si="69"/>
        <v>12</v>
      </c>
      <c r="Z95" s="1181">
        <v>1.117</v>
      </c>
      <c r="AA95" s="479"/>
      <c r="AB95" s="223" t="s">
        <v>143</v>
      </c>
      <c r="AC95" s="471">
        <f>(SUM(AC33:AC76))/D23</f>
        <v>44.13721973684211</v>
      </c>
      <c r="AD95" s="65" t="s">
        <v>453</v>
      </c>
      <c r="AE95" s="66" t="s">
        <v>454</v>
      </c>
      <c r="AF95" s="449"/>
      <c r="AG95" s="449"/>
      <c r="AH95" s="5"/>
      <c r="AI95" s="5"/>
      <c r="AJ95" s="63"/>
      <c r="AK95" s="63"/>
      <c r="AL95" s="63"/>
      <c r="AM95" s="63"/>
      <c r="AN95" s="63"/>
      <c r="AO95" s="63"/>
      <c r="AP95" s="63"/>
      <c r="AQ95" s="5"/>
      <c r="AR95" s="185"/>
    </row>
    <row r="96" spans="1:44" s="1" customFormat="1" ht="13.5" customHeight="1">
      <c r="A96" s="267"/>
      <c r="B96" s="407"/>
      <c r="C96" s="233"/>
      <c r="D96" s="233"/>
      <c r="E96" s="233"/>
      <c r="F96" s="236"/>
      <c r="G96" s="236"/>
      <c r="H96" s="236"/>
      <c r="I96" s="236"/>
      <c r="J96" s="232"/>
      <c r="K96" s="232"/>
      <c r="L96" s="216"/>
      <c r="M96" s="235"/>
      <c r="N96" s="236"/>
      <c r="O96" s="240"/>
      <c r="P96" s="241"/>
      <c r="Q96" s="236"/>
      <c r="R96" s="221"/>
      <c r="S96" s="1823"/>
      <c r="T96" s="169"/>
      <c r="U96" s="1418">
        <f t="shared" si="70"/>
        <v>7.999999999999988</v>
      </c>
      <c r="V96" s="1420">
        <f t="shared" si="67"/>
        <v>226.79599999999965</v>
      </c>
      <c r="W96" s="169"/>
      <c r="X96" s="169"/>
      <c r="Y96" s="1187">
        <f t="shared" si="69"/>
        <v>13</v>
      </c>
      <c r="Z96" s="1181">
        <v>1.083</v>
      </c>
      <c r="AA96" s="342" t="s">
        <v>148</v>
      </c>
      <c r="AB96" s="480"/>
      <c r="AC96" s="471">
        <f>(AC94-AC77/D23-AC88*AC89-AC92)</f>
        <v>10.592932736842116</v>
      </c>
      <c r="AD96" s="65" t="s">
        <v>455</v>
      </c>
      <c r="AE96" s="66" t="s">
        <v>454</v>
      </c>
      <c r="AF96" s="449"/>
      <c r="AG96" s="449"/>
      <c r="AH96" s="5"/>
      <c r="AI96" s="5"/>
      <c r="AJ96" s="63"/>
      <c r="AK96" s="63"/>
      <c r="AL96" s="63"/>
      <c r="AM96" s="63"/>
      <c r="AN96" s="63"/>
      <c r="AO96" s="63"/>
      <c r="AP96" s="63"/>
      <c r="AQ96" s="5"/>
      <c r="AR96" s="185"/>
    </row>
    <row r="97" spans="1:44" s="1" customFormat="1" ht="13.5" customHeight="1">
      <c r="A97" s="267"/>
      <c r="B97" s="407"/>
      <c r="C97" s="233"/>
      <c r="D97" s="233"/>
      <c r="E97" s="233"/>
      <c r="F97" s="236"/>
      <c r="G97" s="236"/>
      <c r="H97" s="236"/>
      <c r="I97" s="236"/>
      <c r="J97" s="232"/>
      <c r="K97" s="232"/>
      <c r="L97" s="216"/>
      <c r="M97" s="235"/>
      <c r="N97" s="236"/>
      <c r="O97" s="240"/>
      <c r="P97" s="241"/>
      <c r="Q97" s="236"/>
      <c r="R97" s="221"/>
      <c r="S97" s="1823"/>
      <c r="T97" s="169"/>
      <c r="U97" s="1418">
        <f t="shared" si="70"/>
        <v>8.099999999999987</v>
      </c>
      <c r="V97" s="1420">
        <f t="shared" si="67"/>
        <v>229.63094999999964</v>
      </c>
      <c r="W97" s="169"/>
      <c r="X97" s="169"/>
      <c r="Y97" s="1187">
        <f t="shared" si="69"/>
        <v>14</v>
      </c>
      <c r="Z97" s="1181">
        <v>1.05</v>
      </c>
      <c r="AA97" s="199" t="s">
        <v>152</v>
      </c>
      <c r="AB97" s="156"/>
      <c r="AC97" s="476">
        <f>(AC94-AC88*AC89-AC91)</f>
        <v>10.498506976345801</v>
      </c>
      <c r="AD97" s="65" t="s">
        <v>455</v>
      </c>
      <c r="AE97" s="66" t="s">
        <v>456</v>
      </c>
      <c r="AF97" s="449"/>
      <c r="AG97" s="449"/>
      <c r="AH97" s="5"/>
      <c r="AI97" s="5"/>
      <c r="AJ97" s="63"/>
      <c r="AK97" s="63"/>
      <c r="AL97" s="63"/>
      <c r="AM97" s="63"/>
      <c r="AN97" s="63"/>
      <c r="AO97" s="63"/>
      <c r="AP97" s="63"/>
      <c r="AQ97" s="5"/>
      <c r="AR97" s="185"/>
    </row>
    <row r="98" spans="1:44" s="1" customFormat="1" ht="13.5" customHeight="1">
      <c r="A98" s="267"/>
      <c r="B98" s="267"/>
      <c r="C98" s="185"/>
      <c r="D98" s="185"/>
      <c r="E98" s="185"/>
      <c r="F98" s="185"/>
      <c r="G98" s="185"/>
      <c r="H98" s="185"/>
      <c r="I98" s="185"/>
      <c r="J98" s="185"/>
      <c r="K98" s="185"/>
      <c r="L98" s="185"/>
      <c r="M98" s="185"/>
      <c r="N98" s="185"/>
      <c r="O98" s="185"/>
      <c r="P98" s="185"/>
      <c r="Q98" s="185"/>
      <c r="R98" s="185"/>
      <c r="S98" s="185"/>
      <c r="T98" s="185"/>
      <c r="U98" s="1418">
        <f t="shared" si="70"/>
        <v>8.199999999999987</v>
      </c>
      <c r="V98" s="1420">
        <f t="shared" si="67"/>
        <v>232.4658999999996</v>
      </c>
      <c r="W98" s="169"/>
      <c r="X98" s="169"/>
      <c r="Y98" s="1187">
        <f aca="true" t="shared" si="71" ref="Y98:Y113">Y97+1</f>
        <v>15</v>
      </c>
      <c r="Z98" s="1181">
        <v>1.019</v>
      </c>
      <c r="AA98" s="449"/>
      <c r="AB98" s="449"/>
      <c r="AC98" s="449"/>
      <c r="AD98" s="449"/>
      <c r="AE98" s="449"/>
      <c r="AF98" s="449"/>
      <c r="AG98" s="7"/>
      <c r="AH98" s="7"/>
      <c r="AI98" s="7"/>
      <c r="AJ98" s="8" t="s">
        <v>382</v>
      </c>
      <c r="AK98" s="9"/>
      <c r="AL98" s="8" t="s">
        <v>383</v>
      </c>
      <c r="AM98" s="8" t="s">
        <v>383</v>
      </c>
      <c r="AN98" s="8" t="s">
        <v>383</v>
      </c>
      <c r="AO98" s="8" t="s">
        <v>383</v>
      </c>
      <c r="AP98" s="8" t="s">
        <v>383</v>
      </c>
      <c r="AQ98" s="8" t="s">
        <v>383</v>
      </c>
      <c r="AR98" s="185"/>
    </row>
    <row r="99" spans="1:44" s="1" customFormat="1" ht="13.5" customHeight="1">
      <c r="A99" s="267"/>
      <c r="B99" s="267"/>
      <c r="C99" s="185"/>
      <c r="D99" s="185"/>
      <c r="E99" s="185"/>
      <c r="F99" s="185"/>
      <c r="G99" s="185"/>
      <c r="H99" s="185"/>
      <c r="I99" s="185"/>
      <c r="J99" s="185"/>
      <c r="K99" s="185"/>
      <c r="L99" s="185"/>
      <c r="M99" s="185"/>
      <c r="N99" s="185"/>
      <c r="O99" s="185"/>
      <c r="P99" s="185"/>
      <c r="Q99" s="185"/>
      <c r="R99" s="185"/>
      <c r="S99" s="185"/>
      <c r="T99" s="185"/>
      <c r="U99" s="1421">
        <f t="shared" si="70"/>
        <v>8.299999999999986</v>
      </c>
      <c r="V99" s="1420">
        <f t="shared" si="67"/>
        <v>235.3008499999996</v>
      </c>
      <c r="W99" s="185"/>
      <c r="X99" s="185"/>
      <c r="Y99" s="1187">
        <f t="shared" si="71"/>
        <v>16</v>
      </c>
      <c r="Z99" s="1181">
        <v>0.985</v>
      </c>
      <c r="AA99" s="449"/>
      <c r="AB99" s="449"/>
      <c r="AC99" s="449"/>
      <c r="AD99" s="449"/>
      <c r="AE99" s="449"/>
      <c r="AF99" s="449"/>
      <c r="AG99" s="449"/>
      <c r="AH99" s="28"/>
      <c r="AI99" s="28"/>
      <c r="AJ99" s="28"/>
      <c r="AK99" s="28"/>
      <c r="AL99" s="28"/>
      <c r="AM99" s="28"/>
      <c r="AN99" s="28"/>
      <c r="AO99" s="28"/>
      <c r="AP99" s="28"/>
      <c r="AQ99" s="28"/>
      <c r="AR99" s="185"/>
    </row>
    <row r="100" spans="1:44" s="1" customFormat="1" ht="13.5" customHeight="1">
      <c r="A100" s="267"/>
      <c r="B100" s="222"/>
      <c r="C100" s="2693" t="s">
        <v>309</v>
      </c>
      <c r="D100" s="2693"/>
      <c r="E100" s="222"/>
      <c r="F100" s="222"/>
      <c r="G100" s="301"/>
      <c r="H100" s="301"/>
      <c r="I100" s="301"/>
      <c r="J100" s="301"/>
      <c r="K100" s="302"/>
      <c r="L100" s="302"/>
      <c r="M100" s="302"/>
      <c r="N100" s="2695"/>
      <c r="O100" s="2695"/>
      <c r="P100" s="2695"/>
      <c r="Q100" s="2695"/>
      <c r="R100" s="2669" t="s">
        <v>462</v>
      </c>
      <c r="S100" s="2669"/>
      <c r="T100" s="2669"/>
      <c r="U100" s="2669"/>
      <c r="V100" s="2669"/>
      <c r="W100" s="185"/>
      <c r="X100" s="185"/>
      <c r="Y100" s="1187">
        <f t="shared" si="71"/>
        <v>17</v>
      </c>
      <c r="Z100" s="1181">
        <v>0.956</v>
      </c>
      <c r="AA100" s="7"/>
      <c r="AB100" s="7"/>
      <c r="AC100" s="7"/>
      <c r="AD100" s="7"/>
      <c r="AE100" s="7"/>
      <c r="AF100" s="7"/>
      <c r="AG100" s="449"/>
      <c r="AH100" s="28"/>
      <c r="AI100" s="28"/>
      <c r="AJ100" s="28"/>
      <c r="AK100" s="28"/>
      <c r="AL100" s="28"/>
      <c r="AM100" s="28"/>
      <c r="AN100" s="28"/>
      <c r="AO100" s="28"/>
      <c r="AP100" s="28"/>
      <c r="AQ100" s="28"/>
      <c r="AR100" s="185"/>
    </row>
    <row r="101" spans="1:44" s="1" customFormat="1" ht="13.5" customHeight="1">
      <c r="A101" s="267"/>
      <c r="B101" s="222"/>
      <c r="C101" s="2692" t="s">
        <v>310</v>
      </c>
      <c r="D101" s="2692"/>
      <c r="E101" s="222"/>
      <c r="F101" s="222"/>
      <c r="G101" s="301"/>
      <c r="H101" s="301"/>
      <c r="I101" s="301"/>
      <c r="J101" s="301"/>
      <c r="K101" s="302"/>
      <c r="L101" s="302"/>
      <c r="M101" s="302"/>
      <c r="N101" s="2673" t="s">
        <v>76</v>
      </c>
      <c r="O101" s="2673"/>
      <c r="P101" s="2673"/>
      <c r="Q101" s="2673"/>
      <c r="R101" s="2670" t="s">
        <v>319</v>
      </c>
      <c r="S101" s="2670"/>
      <c r="T101" s="2670"/>
      <c r="U101" s="2670"/>
      <c r="V101" s="2670"/>
      <c r="W101" s="301"/>
      <c r="X101" s="185"/>
      <c r="Y101" s="1187">
        <f t="shared" si="71"/>
        <v>18</v>
      </c>
      <c r="Z101" s="1181">
        <v>0.928</v>
      </c>
      <c r="AA101" s="449"/>
      <c r="AB101" s="449"/>
      <c r="AC101" s="449"/>
      <c r="AD101" s="449"/>
      <c r="AE101" s="449"/>
      <c r="AF101" s="449"/>
      <c r="AG101" s="449"/>
      <c r="AH101" s="28"/>
      <c r="AI101" s="28"/>
      <c r="AJ101" s="28"/>
      <c r="AK101" s="28"/>
      <c r="AL101" s="28"/>
      <c r="AM101" s="28"/>
      <c r="AN101" s="28"/>
      <c r="AO101" s="28"/>
      <c r="AP101" s="28"/>
      <c r="AQ101" s="28"/>
      <c r="AR101" s="185"/>
    </row>
    <row r="102" spans="1:44" s="1" customFormat="1" ht="13.5" customHeight="1">
      <c r="A102" s="267"/>
      <c r="B102" s="222"/>
      <c r="C102" s="222"/>
      <c r="D102" s="222"/>
      <c r="E102" s="222"/>
      <c r="F102" s="222"/>
      <c r="G102" s="301"/>
      <c r="H102" s="301"/>
      <c r="I102" s="301"/>
      <c r="J102" s="301"/>
      <c r="K102" s="302"/>
      <c r="L102" s="302"/>
      <c r="M102" s="302"/>
      <c r="N102" s="2674" t="s">
        <v>380</v>
      </c>
      <c r="O102" s="2674"/>
      <c r="P102" s="2674"/>
      <c r="Q102" s="2674"/>
      <c r="R102" s="2671" t="s">
        <v>381</v>
      </c>
      <c r="S102" s="2671"/>
      <c r="T102" s="2671"/>
      <c r="U102" s="2671"/>
      <c r="V102" s="2671"/>
      <c r="W102" s="370"/>
      <c r="X102" s="185"/>
      <c r="Y102" s="1187">
        <f t="shared" si="71"/>
        <v>19</v>
      </c>
      <c r="Z102" s="1181">
        <v>0.902</v>
      </c>
      <c r="AA102" s="449"/>
      <c r="AB102" s="449"/>
      <c r="AC102" s="449"/>
      <c r="AD102" s="449"/>
      <c r="AE102" s="449"/>
      <c r="AF102" s="449"/>
      <c r="AG102" s="449"/>
      <c r="AH102" s="28"/>
      <c r="AI102" s="28"/>
      <c r="AJ102" s="28"/>
      <c r="AK102" s="28"/>
      <c r="AL102" s="28"/>
      <c r="AM102" s="28"/>
      <c r="AN102" s="28"/>
      <c r="AO102" s="28"/>
      <c r="AP102" s="28"/>
      <c r="AQ102" s="28"/>
      <c r="AR102" s="185"/>
    </row>
    <row r="103" spans="1:44" s="1" customFormat="1" ht="13.5" customHeight="1">
      <c r="A103" s="267"/>
      <c r="B103" s="2690" t="s">
        <v>375</v>
      </c>
      <c r="C103" s="2690"/>
      <c r="D103" s="2690"/>
      <c r="E103" s="2690"/>
      <c r="F103" s="2690"/>
      <c r="G103" s="2690"/>
      <c r="H103" s="2690"/>
      <c r="I103" s="2690"/>
      <c r="J103" s="301"/>
      <c r="K103" s="302"/>
      <c r="L103" s="302"/>
      <c r="M103" s="302"/>
      <c r="N103" s="2668" t="s">
        <v>320</v>
      </c>
      <c r="O103" s="2668"/>
      <c r="P103" s="2668"/>
      <c r="Q103" s="2668"/>
      <c r="R103" s="2672" t="s">
        <v>321</v>
      </c>
      <c r="S103" s="2672"/>
      <c r="T103" s="2672"/>
      <c r="U103" s="2672"/>
      <c r="V103" s="2672"/>
      <c r="W103" s="301"/>
      <c r="X103" s="185"/>
      <c r="Y103" s="1187">
        <f t="shared" si="71"/>
        <v>20</v>
      </c>
      <c r="Z103" s="1181">
        <v>0.878</v>
      </c>
      <c r="AA103" s="449"/>
      <c r="AB103" s="449"/>
      <c r="AC103" s="449"/>
      <c r="AD103" s="449"/>
      <c r="AE103" s="449"/>
      <c r="AF103" s="449"/>
      <c r="AG103" s="449"/>
      <c r="AH103" s="28"/>
      <c r="AI103" s="28"/>
      <c r="AJ103" s="28"/>
      <c r="AK103" s="28"/>
      <c r="AL103" s="28"/>
      <c r="AM103" s="28"/>
      <c r="AN103" s="28"/>
      <c r="AO103" s="28"/>
      <c r="AP103" s="28"/>
      <c r="AQ103" s="28"/>
      <c r="AR103" s="185"/>
    </row>
    <row r="104" spans="1:44" s="1" customFormat="1" ht="13.5" customHeight="1">
      <c r="A104" s="267"/>
      <c r="B104" s="267"/>
      <c r="C104" s="185"/>
      <c r="D104" s="185"/>
      <c r="E104" s="185"/>
      <c r="F104" s="185"/>
      <c r="G104" s="185"/>
      <c r="H104" s="185"/>
      <c r="I104" s="185"/>
      <c r="J104" s="185"/>
      <c r="K104" s="185"/>
      <c r="L104" s="185"/>
      <c r="M104" s="185"/>
      <c r="N104" s="185"/>
      <c r="O104" s="185"/>
      <c r="P104" s="185"/>
      <c r="Q104" s="185"/>
      <c r="R104" s="185"/>
      <c r="S104" s="185"/>
      <c r="T104" s="185"/>
      <c r="U104" s="185"/>
      <c r="V104" s="185"/>
      <c r="W104" s="218"/>
      <c r="X104" s="185"/>
      <c r="Y104" s="1187">
        <f t="shared" si="71"/>
        <v>21</v>
      </c>
      <c r="Z104" s="1181">
        <v>0.854</v>
      </c>
      <c r="AA104" s="449"/>
      <c r="AB104" s="449"/>
      <c r="AC104" s="449"/>
      <c r="AD104" s="449"/>
      <c r="AE104" s="449"/>
      <c r="AF104" s="449"/>
      <c r="AG104" s="449"/>
      <c r="AH104" s="28"/>
      <c r="AI104" s="28"/>
      <c r="AJ104" s="28"/>
      <c r="AK104" s="28"/>
      <c r="AL104" s="28"/>
      <c r="AM104" s="28"/>
      <c r="AN104" s="28"/>
      <c r="AO104" s="28"/>
      <c r="AP104" s="28"/>
      <c r="AQ104" s="28"/>
      <c r="AR104" s="185"/>
    </row>
    <row r="105" spans="1:44" s="1" customFormat="1" ht="13.5" customHeight="1">
      <c r="A105" s="267"/>
      <c r="B105" s="2691" t="s">
        <v>78</v>
      </c>
      <c r="C105" s="2691"/>
      <c r="D105" s="2691"/>
      <c r="E105" s="2691"/>
      <c r="F105" s="2691"/>
      <c r="G105" s="2691"/>
      <c r="H105" s="1219"/>
      <c r="I105" s="1219"/>
      <c r="J105" s="1219"/>
      <c r="K105" s="1219"/>
      <c r="L105" s="1219"/>
      <c r="M105" s="1219"/>
      <c r="N105" s="1219"/>
      <c r="O105" s="1219"/>
      <c r="P105" s="1219"/>
      <c r="Q105" s="185"/>
      <c r="R105" s="185"/>
      <c r="S105" s="185"/>
      <c r="T105" s="185"/>
      <c r="U105" s="185"/>
      <c r="V105" s="185"/>
      <c r="W105" s="7" t="s">
        <v>429</v>
      </c>
      <c r="X105" s="7" t="s">
        <v>429</v>
      </c>
      <c r="Y105" s="1187">
        <f t="shared" si="71"/>
        <v>22</v>
      </c>
      <c r="Z105" s="1181">
        <v>0.829</v>
      </c>
      <c r="AA105" s="7" t="s">
        <v>429</v>
      </c>
      <c r="AB105" s="7" t="s">
        <v>429</v>
      </c>
      <c r="AC105" s="7" t="s">
        <v>429</v>
      </c>
      <c r="AD105" s="7" t="s">
        <v>429</v>
      </c>
      <c r="AE105" s="7" t="s">
        <v>429</v>
      </c>
      <c r="AF105" s="7" t="s">
        <v>429</v>
      </c>
      <c r="AG105" s="7" t="s">
        <v>429</v>
      </c>
      <c r="AH105" s="7" t="s">
        <v>429</v>
      </c>
      <c r="AI105" s="8" t="s">
        <v>383</v>
      </c>
      <c r="AJ105" s="8" t="s">
        <v>383</v>
      </c>
      <c r="AK105" s="8" t="s">
        <v>383</v>
      </c>
      <c r="AL105" s="8" t="s">
        <v>383</v>
      </c>
      <c r="AM105" s="8" t="s">
        <v>383</v>
      </c>
      <c r="AN105" s="8" t="s">
        <v>383</v>
      </c>
      <c r="AO105" s="8" t="s">
        <v>383</v>
      </c>
      <c r="AP105" s="8" t="s">
        <v>383</v>
      </c>
      <c r="AQ105" s="8" t="s">
        <v>383</v>
      </c>
      <c r="AR105" s="185"/>
    </row>
    <row r="106" spans="1:44" s="1" customFormat="1" ht="15.75" customHeight="1">
      <c r="A106" s="185"/>
      <c r="B106" s="2688" t="s">
        <v>542</v>
      </c>
      <c r="C106" s="2689"/>
      <c r="D106" s="2689"/>
      <c r="E106" s="412"/>
      <c r="F106" s="222"/>
      <c r="G106" s="222"/>
      <c r="H106" s="222"/>
      <c r="I106" s="222"/>
      <c r="J106" s="222"/>
      <c r="K106" s="305"/>
      <c r="L106" s="306"/>
      <c r="M106" s="306"/>
      <c r="N106" s="306"/>
      <c r="O106" s="222"/>
      <c r="P106" s="306"/>
      <c r="Q106" s="306"/>
      <c r="R106" s="306"/>
      <c r="S106" s="238"/>
      <c r="T106" s="238"/>
      <c r="U106" s="238"/>
      <c r="V106" s="218"/>
      <c r="W106" s="218"/>
      <c r="X106" s="218"/>
      <c r="Y106" s="1187">
        <f t="shared" si="71"/>
        <v>23</v>
      </c>
      <c r="Z106" s="1181">
        <v>0.804</v>
      </c>
      <c r="AA106" s="303"/>
      <c r="AB106" s="304"/>
      <c r="AC106" s="304"/>
      <c r="AD106" s="304"/>
      <c r="AE106" s="304"/>
      <c r="AF106" s="303"/>
      <c r="AG106" s="294"/>
      <c r="AH106" s="294"/>
      <c r="AI106" s="294"/>
      <c r="AJ106" s="303"/>
      <c r="AK106" s="303"/>
      <c r="AL106" s="303"/>
      <c r="AM106" s="303"/>
      <c r="AN106" s="303"/>
      <c r="AO106" s="303"/>
      <c r="AP106" s="303"/>
      <c r="AQ106" s="294"/>
      <c r="AR106" s="222"/>
    </row>
    <row r="107" spans="1:44" s="1" customFormat="1" ht="15.75" customHeight="1">
      <c r="A107" s="185"/>
      <c r="B107" s="222"/>
      <c r="C107" s="222"/>
      <c r="D107" s="222"/>
      <c r="E107" s="222"/>
      <c r="F107" s="220"/>
      <c r="G107" s="379"/>
      <c r="H107" s="379"/>
      <c r="I107" s="379"/>
      <c r="J107" s="222"/>
      <c r="K107" s="305"/>
      <c r="L107" s="306"/>
      <c r="M107" s="306"/>
      <c r="N107" s="306"/>
      <c r="O107" s="306"/>
      <c r="P107" s="306"/>
      <c r="Q107" s="306"/>
      <c r="R107" s="306"/>
      <c r="S107" s="238"/>
      <c r="T107" s="238"/>
      <c r="U107" s="238"/>
      <c r="V107" s="218"/>
      <c r="W107" s="218"/>
      <c r="X107" s="218"/>
      <c r="Y107" s="1187">
        <f t="shared" si="71"/>
        <v>24</v>
      </c>
      <c r="Z107" s="1181">
        <v>0.781</v>
      </c>
      <c r="AA107" s="303"/>
      <c r="AB107" s="304"/>
      <c r="AC107" s="304"/>
      <c r="AD107" s="304"/>
      <c r="AE107" s="304"/>
      <c r="AF107" s="303"/>
      <c r="AG107" s="294"/>
      <c r="AH107" s="294"/>
      <c r="AI107" s="294"/>
      <c r="AJ107" s="303"/>
      <c r="AK107" s="303"/>
      <c r="AL107" s="303"/>
      <c r="AM107" s="303"/>
      <c r="AN107" s="303"/>
      <c r="AO107" s="303"/>
      <c r="AP107" s="303"/>
      <c r="AQ107" s="294"/>
      <c r="AR107" s="222"/>
    </row>
    <row r="108" spans="1:44" s="1" customFormat="1" ht="15.75" customHeight="1">
      <c r="A108" s="185"/>
      <c r="B108" s="1446"/>
      <c r="C108" s="1446" t="s">
        <v>463</v>
      </c>
      <c r="D108" s="1446"/>
      <c r="E108" s="1446"/>
      <c r="F108" s="218"/>
      <c r="G108" s="218"/>
      <c r="H108" s="218"/>
      <c r="I108" s="218"/>
      <c r="J108" s="218"/>
      <c r="K108" s="305"/>
      <c r="L108" s="2658" t="s">
        <v>626</v>
      </c>
      <c r="M108" s="2659"/>
      <c r="N108" s="2659"/>
      <c r="O108" s="2659"/>
      <c r="P108" s="2659"/>
      <c r="Q108" s="2659"/>
      <c r="R108" s="2659"/>
      <c r="S108" s="2659"/>
      <c r="T108" s="2659"/>
      <c r="U108" s="2659"/>
      <c r="V108" s="2659"/>
      <c r="W108" s="454"/>
      <c r="X108" s="454"/>
      <c r="Y108" s="1187">
        <f t="shared" si="71"/>
        <v>25</v>
      </c>
      <c r="Z108" s="1181">
        <v>0.759</v>
      </c>
      <c r="AA108" s="303"/>
      <c r="AB108" s="307"/>
      <c r="AC108" s="304"/>
      <c r="AD108" s="304"/>
      <c r="AE108" s="304"/>
      <c r="AF108" s="303"/>
      <c r="AG108" s="294"/>
      <c r="AH108" s="294"/>
      <c r="AI108" s="294"/>
      <c r="AJ108" s="303"/>
      <c r="AK108" s="303"/>
      <c r="AL108" s="303"/>
      <c r="AM108" s="303"/>
      <c r="AN108" s="303"/>
      <c r="AO108" s="303"/>
      <c r="AP108" s="303"/>
      <c r="AQ108" s="294"/>
      <c r="AR108" s="222"/>
    </row>
    <row r="109" spans="1:44" s="1" customFormat="1" ht="15.75" customHeight="1">
      <c r="A109" s="185"/>
      <c r="B109" s="1460" t="s">
        <v>397</v>
      </c>
      <c r="C109" s="1460"/>
      <c r="D109" s="1461" t="s">
        <v>400</v>
      </c>
      <c r="E109" s="1461"/>
      <c r="F109" s="1462" t="s">
        <v>401</v>
      </c>
      <c r="G109" s="1462"/>
      <c r="H109" s="1462"/>
      <c r="I109" s="1461" t="s">
        <v>402</v>
      </c>
      <c r="J109" s="1463" t="s">
        <v>403</v>
      </c>
      <c r="K109" s="305"/>
      <c r="L109" s="2659"/>
      <c r="M109" s="2659"/>
      <c r="N109" s="2659"/>
      <c r="O109" s="2659"/>
      <c r="P109" s="2659"/>
      <c r="Q109" s="2659"/>
      <c r="R109" s="2659"/>
      <c r="S109" s="2659"/>
      <c r="T109" s="2659"/>
      <c r="U109" s="2659"/>
      <c r="V109" s="2659"/>
      <c r="W109" s="454"/>
      <c r="X109" s="454"/>
      <c r="Y109" s="1187">
        <f t="shared" si="71"/>
        <v>26</v>
      </c>
      <c r="Z109" s="1181">
        <v>0.738</v>
      </c>
      <c r="AA109" s="28"/>
      <c r="AB109" s="69"/>
      <c r="AC109" s="69"/>
      <c r="AD109" s="69"/>
      <c r="AE109" s="69"/>
      <c r="AF109" s="28"/>
      <c r="AG109" s="5"/>
      <c r="AH109" s="5"/>
      <c r="AI109" s="5"/>
      <c r="AJ109" s="28"/>
      <c r="AK109" s="28"/>
      <c r="AL109" s="28"/>
      <c r="AM109" s="28"/>
      <c r="AN109" s="28"/>
      <c r="AO109" s="28"/>
      <c r="AP109" s="28"/>
      <c r="AQ109" s="5"/>
      <c r="AR109" s="222"/>
    </row>
    <row r="110" spans="1:44" s="1" customFormat="1" ht="15.75" customHeight="1">
      <c r="A110" s="185"/>
      <c r="B110" s="1460"/>
      <c r="C110" s="1460" t="s">
        <v>464</v>
      </c>
      <c r="D110" s="1461" t="s">
        <v>410</v>
      </c>
      <c r="E110" s="1461"/>
      <c r="F110" s="1462" t="s">
        <v>411</v>
      </c>
      <c r="G110" s="1462"/>
      <c r="H110" s="1462"/>
      <c r="I110" s="1461" t="s">
        <v>412</v>
      </c>
      <c r="J110" s="1461" t="s">
        <v>413</v>
      </c>
      <c r="K110" s="305"/>
      <c r="L110" s="2659"/>
      <c r="M110" s="2659"/>
      <c r="N110" s="2659"/>
      <c r="O110" s="2659"/>
      <c r="P110" s="2659"/>
      <c r="Q110" s="2659"/>
      <c r="R110" s="2659"/>
      <c r="S110" s="2659"/>
      <c r="T110" s="2659"/>
      <c r="U110" s="2659"/>
      <c r="V110" s="2659"/>
      <c r="W110" s="454"/>
      <c r="X110" s="454"/>
      <c r="Y110" s="1187">
        <f t="shared" si="71"/>
        <v>27</v>
      </c>
      <c r="Z110" s="1181">
        <v>0.718</v>
      </c>
      <c r="AA110" s="28"/>
      <c r="AB110" s="69"/>
      <c r="AC110" s="69"/>
      <c r="AD110" s="69"/>
      <c r="AE110" s="69"/>
      <c r="AF110" s="28"/>
      <c r="AG110" s="5"/>
      <c r="AH110" s="5"/>
      <c r="AI110" s="5"/>
      <c r="AJ110" s="28"/>
      <c r="AK110" s="28"/>
      <c r="AL110" s="28"/>
      <c r="AM110" s="28"/>
      <c r="AN110" s="28"/>
      <c r="AO110" s="28"/>
      <c r="AP110" s="28"/>
      <c r="AQ110" s="5"/>
      <c r="AR110" s="222"/>
    </row>
    <row r="111" spans="1:44" s="1" customFormat="1" ht="15.75" customHeight="1">
      <c r="A111" s="185"/>
      <c r="B111" s="1460"/>
      <c r="C111" s="37" t="s">
        <v>465</v>
      </c>
      <c r="D111" s="70">
        <v>310</v>
      </c>
      <c r="E111" s="70"/>
      <c r="F111" s="50">
        <v>0.62</v>
      </c>
      <c r="G111" s="50"/>
      <c r="H111" s="50"/>
      <c r="I111" s="37">
        <v>5.5</v>
      </c>
      <c r="J111" s="213"/>
      <c r="K111" s="305"/>
      <c r="L111" s="2659"/>
      <c r="M111" s="2659"/>
      <c r="N111" s="2659"/>
      <c r="O111" s="2659"/>
      <c r="P111" s="2659"/>
      <c r="Q111" s="2659"/>
      <c r="R111" s="2659"/>
      <c r="S111" s="2659"/>
      <c r="T111" s="2659"/>
      <c r="U111" s="2659"/>
      <c r="V111" s="2659"/>
      <c r="W111" s="454"/>
      <c r="X111" s="454"/>
      <c r="Y111" s="1187">
        <f t="shared" si="71"/>
        <v>28</v>
      </c>
      <c r="Z111" s="1181">
        <v>0.699</v>
      </c>
      <c r="AA111" s="28"/>
      <c r="AB111" s="69"/>
      <c r="AC111" s="69"/>
      <c r="AD111" s="69"/>
      <c r="AE111" s="69"/>
      <c r="AF111" s="28"/>
      <c r="AG111" s="5"/>
      <c r="AH111" s="5"/>
      <c r="AI111" s="5"/>
      <c r="AJ111" s="28"/>
      <c r="AK111" s="28"/>
      <c r="AL111" s="28"/>
      <c r="AM111" s="28"/>
      <c r="AN111" s="28"/>
      <c r="AO111" s="28"/>
      <c r="AP111" s="28"/>
      <c r="AQ111" s="5"/>
      <c r="AR111" s="222"/>
    </row>
    <row r="112" spans="1:44" s="1" customFormat="1" ht="15.75" customHeight="1">
      <c r="A112" s="185"/>
      <c r="B112" s="1460"/>
      <c r="C112" s="37" t="s">
        <v>466</v>
      </c>
      <c r="D112" s="70">
        <v>310</v>
      </c>
      <c r="E112" s="70"/>
      <c r="F112" s="50">
        <v>0.62</v>
      </c>
      <c r="G112" s="50"/>
      <c r="H112" s="50"/>
      <c r="I112" s="37">
        <v>10</v>
      </c>
      <c r="J112" s="213"/>
      <c r="K112" s="305"/>
      <c r="L112" s="2659"/>
      <c r="M112" s="2659"/>
      <c r="N112" s="2659"/>
      <c r="O112" s="2659"/>
      <c r="P112" s="2659"/>
      <c r="Q112" s="2659"/>
      <c r="R112" s="2659"/>
      <c r="S112" s="2659"/>
      <c r="T112" s="2659"/>
      <c r="U112" s="2659"/>
      <c r="V112" s="2659"/>
      <c r="W112" s="454"/>
      <c r="X112" s="454"/>
      <c r="Y112" s="1187">
        <f t="shared" si="71"/>
        <v>29</v>
      </c>
      <c r="Z112" s="1181">
        <v>0.682</v>
      </c>
      <c r="AA112" s="28"/>
      <c r="AB112" s="69"/>
      <c r="AC112" s="69"/>
      <c r="AD112" s="69"/>
      <c r="AE112" s="69"/>
      <c r="AF112" s="28"/>
      <c r="AG112" s="5"/>
      <c r="AH112" s="5"/>
      <c r="AI112" s="5"/>
      <c r="AJ112" s="28"/>
      <c r="AK112" s="28"/>
      <c r="AL112" s="28"/>
      <c r="AM112" s="28"/>
      <c r="AN112" s="28"/>
      <c r="AO112" s="28"/>
      <c r="AP112" s="28"/>
      <c r="AQ112" s="5"/>
      <c r="AR112" s="222"/>
    </row>
    <row r="113" spans="1:44" s="1" customFormat="1" ht="15.75" customHeight="1">
      <c r="A113" s="185"/>
      <c r="B113" s="1460"/>
      <c r="C113" s="37" t="s">
        <v>467</v>
      </c>
      <c r="D113" s="37">
        <v>310</v>
      </c>
      <c r="E113" s="37"/>
      <c r="F113" s="37">
        <v>0.62</v>
      </c>
      <c r="G113" s="37"/>
      <c r="H113" s="37"/>
      <c r="I113" s="37">
        <v>18</v>
      </c>
      <c r="J113" s="213"/>
      <c r="K113" s="305"/>
      <c r="L113" s="2659"/>
      <c r="M113" s="2659"/>
      <c r="N113" s="2659"/>
      <c r="O113" s="2659"/>
      <c r="P113" s="2659"/>
      <c r="Q113" s="2659"/>
      <c r="R113" s="2659"/>
      <c r="S113" s="2659"/>
      <c r="T113" s="2659"/>
      <c r="U113" s="2659"/>
      <c r="V113" s="2659"/>
      <c r="W113" s="454"/>
      <c r="X113" s="454"/>
      <c r="Y113" s="1187">
        <f t="shared" si="71"/>
        <v>30</v>
      </c>
      <c r="Z113" s="1181">
        <v>0.665</v>
      </c>
      <c r="AA113" s="28"/>
      <c r="AB113" s="69"/>
      <c r="AC113" s="69"/>
      <c r="AD113" s="69"/>
      <c r="AE113" s="69"/>
      <c r="AF113" s="28"/>
      <c r="AG113" s="5"/>
      <c r="AH113" s="5"/>
      <c r="AI113" s="5"/>
      <c r="AJ113" s="28"/>
      <c r="AK113" s="28"/>
      <c r="AL113" s="28"/>
      <c r="AM113" s="28"/>
      <c r="AN113" s="28"/>
      <c r="AO113" s="28"/>
      <c r="AP113" s="28"/>
      <c r="AQ113" s="5"/>
      <c r="AR113" s="222"/>
    </row>
    <row r="114" spans="1:44" s="1" customFormat="1" ht="15.75" customHeight="1">
      <c r="A114" s="185"/>
      <c r="B114" s="1460"/>
      <c r="C114" s="37" t="s">
        <v>468</v>
      </c>
      <c r="D114" s="70">
        <v>310</v>
      </c>
      <c r="E114" s="70"/>
      <c r="F114" s="50">
        <v>0.62</v>
      </c>
      <c r="G114" s="50"/>
      <c r="H114" s="50"/>
      <c r="I114" s="37">
        <v>55</v>
      </c>
      <c r="J114" s="213"/>
      <c r="K114" s="305"/>
      <c r="L114" s="2659"/>
      <c r="M114" s="2659"/>
      <c r="N114" s="2659"/>
      <c r="O114" s="2659"/>
      <c r="P114" s="2659"/>
      <c r="Q114" s="2659"/>
      <c r="R114" s="2659"/>
      <c r="S114" s="2659"/>
      <c r="T114" s="2659"/>
      <c r="U114" s="2659"/>
      <c r="V114" s="2659"/>
      <c r="W114" s="454"/>
      <c r="X114" s="454"/>
      <c r="Y114" s="51"/>
      <c r="Z114" s="5"/>
      <c r="AA114" s="28"/>
      <c r="AB114" s="69"/>
      <c r="AC114" s="69"/>
      <c r="AD114" s="69"/>
      <c r="AE114" s="69"/>
      <c r="AF114" s="28"/>
      <c r="AG114" s="5"/>
      <c r="AH114" s="5"/>
      <c r="AI114" s="5"/>
      <c r="AJ114" s="28"/>
      <c r="AK114" s="28"/>
      <c r="AL114" s="28"/>
      <c r="AM114" s="28"/>
      <c r="AN114" s="28"/>
      <c r="AO114" s="28"/>
      <c r="AP114" s="28"/>
      <c r="AQ114" s="5"/>
      <c r="AR114" s="222"/>
    </row>
    <row r="115" spans="1:44" s="1" customFormat="1" ht="15.75" customHeight="1">
      <c r="A115" s="185"/>
      <c r="B115" s="407"/>
      <c r="C115" s="50" t="s">
        <v>469</v>
      </c>
      <c r="D115" s="70">
        <v>310</v>
      </c>
      <c r="E115" s="70"/>
      <c r="F115" s="50">
        <v>0.62</v>
      </c>
      <c r="G115" s="50"/>
      <c r="H115" s="50"/>
      <c r="I115" s="37">
        <v>95</v>
      </c>
      <c r="J115" s="213"/>
      <c r="K115" s="305"/>
      <c r="L115" s="2659"/>
      <c r="M115" s="2659"/>
      <c r="N115" s="2659"/>
      <c r="O115" s="2659"/>
      <c r="P115" s="2659"/>
      <c r="Q115" s="2659"/>
      <c r="R115" s="2659"/>
      <c r="S115" s="2659"/>
      <c r="T115" s="2659"/>
      <c r="U115" s="2659"/>
      <c r="V115" s="2659"/>
      <c r="W115" s="454"/>
      <c r="X115" s="454"/>
      <c r="Y115" s="51"/>
      <c r="Z115" s="5"/>
      <c r="AA115" s="28"/>
      <c r="AB115" s="69"/>
      <c r="AC115" s="69"/>
      <c r="AD115" s="69"/>
      <c r="AE115" s="69"/>
      <c r="AF115" s="28"/>
      <c r="AG115" s="5"/>
      <c r="AH115" s="5"/>
      <c r="AI115" s="5"/>
      <c r="AJ115" s="28"/>
      <c r="AK115" s="28"/>
      <c r="AL115" s="28"/>
      <c r="AM115" s="28"/>
      <c r="AN115" s="28"/>
      <c r="AO115" s="28"/>
      <c r="AP115" s="28"/>
      <c r="AQ115" s="5"/>
      <c r="AR115" s="222"/>
    </row>
    <row r="116" spans="1:44" s="1" customFormat="1" ht="15.75" customHeight="1">
      <c r="A116" s="185"/>
      <c r="B116" s="1460"/>
      <c r="C116" s="71" t="s">
        <v>470</v>
      </c>
      <c r="D116" s="70">
        <v>310</v>
      </c>
      <c r="E116" s="70"/>
      <c r="F116" s="50">
        <v>0.62</v>
      </c>
      <c r="G116" s="50"/>
      <c r="H116" s="50"/>
      <c r="I116" s="71">
        <v>9</v>
      </c>
      <c r="J116" s="213"/>
      <c r="K116" s="305"/>
      <c r="L116" s="2659"/>
      <c r="M116" s="2659"/>
      <c r="N116" s="2659"/>
      <c r="O116" s="2659"/>
      <c r="P116" s="2659"/>
      <c r="Q116" s="2659"/>
      <c r="R116" s="2659"/>
      <c r="S116" s="2659"/>
      <c r="T116" s="2659"/>
      <c r="U116" s="2659"/>
      <c r="V116" s="2659"/>
      <c r="W116" s="454"/>
      <c r="X116" s="454"/>
      <c r="Y116" s="51"/>
      <c r="Z116" s="5"/>
      <c r="AA116" s="28"/>
      <c r="AB116" s="69"/>
      <c r="AC116" s="69"/>
      <c r="AD116" s="69"/>
      <c r="AE116" s="69"/>
      <c r="AF116" s="28"/>
      <c r="AG116" s="5"/>
      <c r="AH116" s="5"/>
      <c r="AI116" s="5"/>
      <c r="AJ116" s="28"/>
      <c r="AK116" s="28"/>
      <c r="AL116" s="28"/>
      <c r="AM116" s="28"/>
      <c r="AN116" s="28"/>
      <c r="AO116" s="28"/>
      <c r="AP116" s="28"/>
      <c r="AQ116" s="5"/>
      <c r="AR116" s="222"/>
    </row>
    <row r="117" spans="1:44" s="1" customFormat="1" ht="15.75" customHeight="1">
      <c r="A117" s="185"/>
      <c r="B117" s="1460"/>
      <c r="C117" s="71" t="s">
        <v>305</v>
      </c>
      <c r="D117" s="37"/>
      <c r="E117" s="37"/>
      <c r="F117" s="37"/>
      <c r="G117" s="37"/>
      <c r="H117" s="37"/>
      <c r="I117" s="37"/>
      <c r="J117" s="213"/>
      <c r="K117" s="305"/>
      <c r="L117" s="2659"/>
      <c r="M117" s="2659"/>
      <c r="N117" s="2659"/>
      <c r="O117" s="2659"/>
      <c r="P117" s="2659"/>
      <c r="Q117" s="2659"/>
      <c r="R117" s="2659"/>
      <c r="S117" s="2659"/>
      <c r="T117" s="2659"/>
      <c r="U117" s="2659"/>
      <c r="V117" s="2659"/>
      <c r="W117" s="454"/>
      <c r="X117" s="454"/>
      <c r="Y117" s="51"/>
      <c r="Z117" s="5"/>
      <c r="AA117" s="28"/>
      <c r="AB117" s="69"/>
      <c r="AC117" s="69"/>
      <c r="AD117" s="69"/>
      <c r="AE117" s="69"/>
      <c r="AF117" s="28"/>
      <c r="AG117" s="5"/>
      <c r="AH117" s="5"/>
      <c r="AI117" s="5"/>
      <c r="AJ117" s="28"/>
      <c r="AK117" s="28"/>
      <c r="AL117" s="28"/>
      <c r="AM117" s="28"/>
      <c r="AN117" s="28"/>
      <c r="AO117" s="28"/>
      <c r="AP117" s="28"/>
      <c r="AQ117" s="5"/>
      <c r="AR117" s="222"/>
    </row>
    <row r="118" spans="1:44" s="1" customFormat="1" ht="15.75" customHeight="1">
      <c r="A118" s="185"/>
      <c r="B118" s="1460"/>
      <c r="C118" s="1460"/>
      <c r="D118" s="1460"/>
      <c r="E118" s="1460"/>
      <c r="F118" s="1460"/>
      <c r="G118" s="1460"/>
      <c r="H118" s="1460"/>
      <c r="I118" s="1460"/>
      <c r="J118" s="1460"/>
      <c r="K118" s="305"/>
      <c r="L118" s="2659"/>
      <c r="M118" s="2659"/>
      <c r="N118" s="2659"/>
      <c r="O118" s="2659"/>
      <c r="P118" s="2659"/>
      <c r="Q118" s="2659"/>
      <c r="R118" s="2659"/>
      <c r="S118" s="2659"/>
      <c r="T118" s="2659"/>
      <c r="U118" s="2659"/>
      <c r="V118" s="2659"/>
      <c r="W118" s="454"/>
      <c r="X118" s="454"/>
      <c r="Y118" s="51"/>
      <c r="Z118" s="5"/>
      <c r="AA118" s="28"/>
      <c r="AB118" s="69"/>
      <c r="AC118" s="69"/>
      <c r="AD118" s="69"/>
      <c r="AE118" s="69"/>
      <c r="AF118" s="28"/>
      <c r="AG118" s="5"/>
      <c r="AH118" s="5"/>
      <c r="AI118" s="5"/>
      <c r="AJ118" s="28"/>
      <c r="AK118" s="28"/>
      <c r="AL118" s="28"/>
      <c r="AM118" s="28"/>
      <c r="AN118" s="28"/>
      <c r="AO118" s="28"/>
      <c r="AP118" s="28"/>
      <c r="AQ118" s="5"/>
      <c r="AR118" s="222"/>
    </row>
    <row r="119" spans="1:44" s="1" customFormat="1" ht="15.75" customHeight="1">
      <c r="A119" s="185"/>
      <c r="B119" s="1460"/>
      <c r="C119" s="1460" t="s">
        <v>471</v>
      </c>
      <c r="D119" s="1460"/>
      <c r="E119" s="1460"/>
      <c r="F119" s="1460"/>
      <c r="G119" s="1460"/>
      <c r="H119" s="1460"/>
      <c r="I119" s="1460"/>
      <c r="J119" s="1460"/>
      <c r="K119" s="305"/>
      <c r="L119" s="2659"/>
      <c r="M119" s="2659"/>
      <c r="N119" s="2659"/>
      <c r="O119" s="2659"/>
      <c r="P119" s="2659"/>
      <c r="Q119" s="2659"/>
      <c r="R119" s="2659"/>
      <c r="S119" s="2659"/>
      <c r="T119" s="2659"/>
      <c r="U119" s="2659"/>
      <c r="V119" s="2659"/>
      <c r="W119" s="454"/>
      <c r="X119" s="454"/>
      <c r="Y119" s="51"/>
      <c r="Z119" s="5"/>
      <c r="AA119" s="28"/>
      <c r="AB119" s="69"/>
      <c r="AC119" s="69"/>
      <c r="AD119" s="69"/>
      <c r="AE119" s="69"/>
      <c r="AF119" s="28"/>
      <c r="AG119" s="5"/>
      <c r="AH119" s="5"/>
      <c r="AI119" s="5"/>
      <c r="AJ119" s="28"/>
      <c r="AK119" s="28"/>
      <c r="AL119" s="28"/>
      <c r="AM119" s="28"/>
      <c r="AN119" s="28"/>
      <c r="AO119" s="28"/>
      <c r="AP119" s="28"/>
      <c r="AQ119" s="5"/>
      <c r="AR119" s="222"/>
    </row>
    <row r="120" spans="1:44" s="1" customFormat="1" ht="15.75" customHeight="1">
      <c r="A120" s="185"/>
      <c r="B120" s="1460"/>
      <c r="C120" s="37" t="s">
        <v>466</v>
      </c>
      <c r="D120" s="70">
        <v>310</v>
      </c>
      <c r="E120" s="70"/>
      <c r="F120" s="50">
        <v>0.62</v>
      </c>
      <c r="G120" s="50"/>
      <c r="H120" s="50"/>
      <c r="I120" s="37">
        <v>10</v>
      </c>
      <c r="J120" s="37">
        <v>30</v>
      </c>
      <c r="K120" s="305"/>
      <c r="L120" s="2659"/>
      <c r="M120" s="2659"/>
      <c r="N120" s="2659"/>
      <c r="O120" s="2659"/>
      <c r="P120" s="2659"/>
      <c r="Q120" s="2659"/>
      <c r="R120" s="2659"/>
      <c r="S120" s="2659"/>
      <c r="T120" s="2659"/>
      <c r="U120" s="2659"/>
      <c r="V120" s="2659"/>
      <c r="W120" s="454"/>
      <c r="X120" s="454"/>
      <c r="Y120" s="51"/>
      <c r="Z120" s="5"/>
      <c r="AA120" s="28"/>
      <c r="AB120" s="69"/>
      <c r="AC120" s="69"/>
      <c r="AD120" s="69"/>
      <c r="AE120" s="69"/>
      <c r="AF120" s="28"/>
      <c r="AG120" s="5"/>
      <c r="AH120" s="5"/>
      <c r="AI120" s="5"/>
      <c r="AJ120" s="28"/>
      <c r="AK120" s="28"/>
      <c r="AL120" s="28"/>
      <c r="AM120" s="28"/>
      <c r="AN120" s="28"/>
      <c r="AO120" s="28"/>
      <c r="AP120" s="28"/>
      <c r="AQ120" s="5"/>
      <c r="AR120" s="222"/>
    </row>
    <row r="121" spans="1:44" s="1" customFormat="1" ht="15.75" customHeight="1">
      <c r="A121" s="185"/>
      <c r="B121" s="1460"/>
      <c r="C121" s="37" t="s">
        <v>467</v>
      </c>
      <c r="D121" s="70">
        <v>310</v>
      </c>
      <c r="E121" s="70"/>
      <c r="F121" s="50">
        <v>0.62</v>
      </c>
      <c r="G121" s="50"/>
      <c r="H121" s="50"/>
      <c r="I121" s="37">
        <v>18</v>
      </c>
      <c r="J121" s="37">
        <v>50</v>
      </c>
      <c r="K121" s="305"/>
      <c r="L121" s="2659"/>
      <c r="M121" s="2659"/>
      <c r="N121" s="2659"/>
      <c r="O121" s="2659"/>
      <c r="P121" s="2659"/>
      <c r="Q121" s="2659"/>
      <c r="R121" s="2659"/>
      <c r="S121" s="2659"/>
      <c r="T121" s="2659"/>
      <c r="U121" s="2659"/>
      <c r="V121" s="2659"/>
      <c r="W121" s="454"/>
      <c r="X121" s="454"/>
      <c r="Y121" s="51"/>
      <c r="Z121" s="5"/>
      <c r="AA121" s="28"/>
      <c r="AB121" s="69"/>
      <c r="AC121" s="69"/>
      <c r="AD121" s="69"/>
      <c r="AE121" s="69"/>
      <c r="AF121" s="28"/>
      <c r="AG121" s="5"/>
      <c r="AH121" s="5"/>
      <c r="AI121" s="5"/>
      <c r="AJ121" s="28"/>
      <c r="AK121" s="28"/>
      <c r="AL121" s="28"/>
      <c r="AM121" s="28"/>
      <c r="AN121" s="28"/>
      <c r="AO121" s="28"/>
      <c r="AP121" s="28"/>
      <c r="AQ121" s="5"/>
      <c r="AR121" s="222"/>
    </row>
    <row r="122" spans="1:44" s="1" customFormat="1" ht="15.75" customHeight="1">
      <c r="A122" s="185"/>
      <c r="B122" s="1460"/>
      <c r="C122" s="37" t="s">
        <v>468</v>
      </c>
      <c r="D122" s="70">
        <v>310</v>
      </c>
      <c r="E122" s="70"/>
      <c r="F122" s="50">
        <v>0.62</v>
      </c>
      <c r="G122" s="50"/>
      <c r="H122" s="50"/>
      <c r="I122" s="37">
        <v>55</v>
      </c>
      <c r="J122" s="37">
        <v>50</v>
      </c>
      <c r="K122" s="305"/>
      <c r="L122" s="2659"/>
      <c r="M122" s="2659"/>
      <c r="N122" s="2659"/>
      <c r="O122" s="2659"/>
      <c r="P122" s="2659"/>
      <c r="Q122" s="2659"/>
      <c r="R122" s="2659"/>
      <c r="S122" s="2659"/>
      <c r="T122" s="2659"/>
      <c r="U122" s="2659"/>
      <c r="V122" s="2659"/>
      <c r="W122" s="454"/>
      <c r="X122" s="454"/>
      <c r="Y122" s="51"/>
      <c r="Z122" s="5"/>
      <c r="AA122" s="28"/>
      <c r="AB122" s="69"/>
      <c r="AC122" s="69"/>
      <c r="AD122" s="69"/>
      <c r="AE122" s="69"/>
      <c r="AF122" s="28"/>
      <c r="AG122" s="5"/>
      <c r="AH122" s="5"/>
      <c r="AI122" s="5"/>
      <c r="AJ122" s="28"/>
      <c r="AK122" s="28"/>
      <c r="AL122" s="28"/>
      <c r="AM122" s="28"/>
      <c r="AN122" s="28"/>
      <c r="AO122" s="28"/>
      <c r="AP122" s="28"/>
      <c r="AQ122" s="5"/>
      <c r="AR122" s="222"/>
    </row>
    <row r="123" spans="1:44" s="1" customFormat="1" ht="15.75" customHeight="1">
      <c r="A123" s="185"/>
      <c r="B123" s="1460"/>
      <c r="C123" s="71" t="s">
        <v>305</v>
      </c>
      <c r="D123" s="70"/>
      <c r="E123" s="70"/>
      <c r="F123" s="50"/>
      <c r="G123" s="50"/>
      <c r="H123" s="50"/>
      <c r="I123" s="37"/>
      <c r="J123" s="37"/>
      <c r="K123" s="305"/>
      <c r="L123" s="2659"/>
      <c r="M123" s="2659"/>
      <c r="N123" s="2659"/>
      <c r="O123" s="2659"/>
      <c r="P123" s="2659"/>
      <c r="Q123" s="2659"/>
      <c r="R123" s="2659"/>
      <c r="S123" s="2659"/>
      <c r="T123" s="2659"/>
      <c r="U123" s="2659"/>
      <c r="V123" s="2659"/>
      <c r="W123" s="454"/>
      <c r="X123" s="454"/>
      <c r="Y123" s="51"/>
      <c r="Z123" s="5"/>
      <c r="AA123" s="28"/>
      <c r="AB123" s="69"/>
      <c r="AC123" s="69"/>
      <c r="AD123" s="69"/>
      <c r="AE123" s="69"/>
      <c r="AF123" s="28"/>
      <c r="AG123" s="5"/>
      <c r="AH123" s="5"/>
      <c r="AI123" s="5"/>
      <c r="AJ123" s="28"/>
      <c r="AK123" s="28"/>
      <c r="AL123" s="28"/>
      <c r="AM123" s="28"/>
      <c r="AN123" s="28"/>
      <c r="AO123" s="28"/>
      <c r="AP123" s="28"/>
      <c r="AQ123" s="5"/>
      <c r="AR123" s="222"/>
    </row>
    <row r="124" spans="1:44" s="1" customFormat="1" ht="13.5">
      <c r="A124" s="185"/>
      <c r="B124" s="1460"/>
      <c r="C124" s="1460"/>
      <c r="D124" s="1460"/>
      <c r="E124" s="1460"/>
      <c r="F124" s="1460"/>
      <c r="G124" s="1460"/>
      <c r="H124" s="1460"/>
      <c r="I124" s="1460"/>
      <c r="J124" s="1460"/>
      <c r="K124" s="305"/>
      <c r="L124" s="2659"/>
      <c r="M124" s="2659"/>
      <c r="N124" s="2659"/>
      <c r="O124" s="2659"/>
      <c r="P124" s="2659"/>
      <c r="Q124" s="2659"/>
      <c r="R124" s="2659"/>
      <c r="S124" s="2659"/>
      <c r="T124" s="2659"/>
      <c r="U124" s="2659"/>
      <c r="V124" s="2659"/>
      <c r="W124" s="454"/>
      <c r="X124" s="454"/>
      <c r="Y124" s="51"/>
      <c r="Z124" s="5"/>
      <c r="AA124" s="28"/>
      <c r="AB124" s="69"/>
      <c r="AC124" s="69"/>
      <c r="AD124" s="69"/>
      <c r="AE124" s="69"/>
      <c r="AF124" s="28"/>
      <c r="AG124" s="5"/>
      <c r="AH124" s="5"/>
      <c r="AI124" s="5"/>
      <c r="AJ124" s="28"/>
      <c r="AK124" s="28"/>
      <c r="AL124" s="28"/>
      <c r="AM124" s="28"/>
      <c r="AN124" s="28"/>
      <c r="AO124" s="28"/>
      <c r="AP124" s="28"/>
      <c r="AQ124" s="5"/>
      <c r="AR124" s="222"/>
    </row>
    <row r="125" spans="1:44" s="1" customFormat="1" ht="13.5">
      <c r="A125" s="185"/>
      <c r="B125" s="1460"/>
      <c r="C125" s="1460" t="s">
        <v>472</v>
      </c>
      <c r="D125" s="1460"/>
      <c r="E125" s="1460"/>
      <c r="F125" s="1460"/>
      <c r="G125" s="1460"/>
      <c r="H125" s="1460"/>
      <c r="I125" s="1460"/>
      <c r="J125" s="1460"/>
      <c r="K125" s="305"/>
      <c r="L125" s="2659"/>
      <c r="M125" s="2659"/>
      <c r="N125" s="2659"/>
      <c r="O125" s="2659"/>
      <c r="P125" s="2659"/>
      <c r="Q125" s="2659"/>
      <c r="R125" s="2659"/>
      <c r="S125" s="2659"/>
      <c r="T125" s="2659"/>
      <c r="U125" s="2659"/>
      <c r="V125" s="2659"/>
      <c r="W125" s="454"/>
      <c r="X125" s="454"/>
      <c r="Y125" s="51"/>
      <c r="Z125" s="5"/>
      <c r="AA125" s="28"/>
      <c r="AB125" s="69"/>
      <c r="AC125" s="69"/>
      <c r="AD125" s="69"/>
      <c r="AE125" s="69"/>
      <c r="AF125" s="28"/>
      <c r="AG125" s="5"/>
      <c r="AH125" s="5"/>
      <c r="AI125" s="5"/>
      <c r="AJ125" s="28"/>
      <c r="AK125" s="28"/>
      <c r="AL125" s="28"/>
      <c r="AM125" s="28"/>
      <c r="AN125" s="28"/>
      <c r="AO125" s="28"/>
      <c r="AP125" s="28"/>
      <c r="AQ125" s="5"/>
      <c r="AR125" s="222"/>
    </row>
    <row r="126" spans="1:44" s="1" customFormat="1" ht="13.5">
      <c r="A126" s="185"/>
      <c r="B126" s="1460"/>
      <c r="C126" s="37" t="s">
        <v>465</v>
      </c>
      <c r="D126" s="70">
        <v>365</v>
      </c>
      <c r="E126" s="70"/>
      <c r="F126" s="50">
        <v>0.62</v>
      </c>
      <c r="G126" s="50"/>
      <c r="H126" s="50"/>
      <c r="I126" s="37">
        <v>6</v>
      </c>
      <c r="J126" s="213"/>
      <c r="K126" s="305"/>
      <c r="L126" s="2659"/>
      <c r="M126" s="2659"/>
      <c r="N126" s="2659"/>
      <c r="O126" s="2659"/>
      <c r="P126" s="2659"/>
      <c r="Q126" s="2659"/>
      <c r="R126" s="2659"/>
      <c r="S126" s="2659"/>
      <c r="T126" s="2659"/>
      <c r="U126" s="2659"/>
      <c r="V126" s="2659"/>
      <c r="W126" s="454"/>
      <c r="X126" s="454"/>
      <c r="Y126" s="51"/>
      <c r="Z126" s="5"/>
      <c r="AA126" s="28"/>
      <c r="AB126" s="69"/>
      <c r="AC126" s="69"/>
      <c r="AD126" s="69"/>
      <c r="AE126" s="69"/>
      <c r="AF126" s="28"/>
      <c r="AG126" s="5"/>
      <c r="AH126" s="5"/>
      <c r="AI126" s="5"/>
      <c r="AJ126" s="28"/>
      <c r="AK126" s="28"/>
      <c r="AL126" s="28"/>
      <c r="AM126" s="28"/>
      <c r="AN126" s="28"/>
      <c r="AO126" s="28"/>
      <c r="AP126" s="28"/>
      <c r="AQ126" s="5"/>
      <c r="AR126" s="222"/>
    </row>
    <row r="127" spans="1:44" s="1" customFormat="1" ht="13.5">
      <c r="A127" s="185"/>
      <c r="B127" s="1460"/>
      <c r="C127" s="37" t="s">
        <v>466</v>
      </c>
      <c r="D127" s="70">
        <v>365</v>
      </c>
      <c r="E127" s="70"/>
      <c r="F127" s="50">
        <v>0.62</v>
      </c>
      <c r="G127" s="50"/>
      <c r="H127" s="50"/>
      <c r="I127" s="37">
        <v>9.5</v>
      </c>
      <c r="J127" s="213"/>
      <c r="K127" s="305"/>
      <c r="L127" s="2659"/>
      <c r="M127" s="2659"/>
      <c r="N127" s="2659"/>
      <c r="O127" s="2659"/>
      <c r="P127" s="2659"/>
      <c r="Q127" s="2659"/>
      <c r="R127" s="2659"/>
      <c r="S127" s="2659"/>
      <c r="T127" s="2659"/>
      <c r="U127" s="2659"/>
      <c r="V127" s="2659"/>
      <c r="W127" s="454"/>
      <c r="X127" s="454"/>
      <c r="Y127" s="51"/>
      <c r="Z127" s="5"/>
      <c r="AA127" s="28"/>
      <c r="AB127" s="69"/>
      <c r="AC127" s="69"/>
      <c r="AD127" s="69"/>
      <c r="AE127" s="69"/>
      <c r="AF127" s="28"/>
      <c r="AG127" s="5"/>
      <c r="AH127" s="5"/>
      <c r="AI127" s="5"/>
      <c r="AJ127" s="28"/>
      <c r="AK127" s="28"/>
      <c r="AL127" s="28"/>
      <c r="AM127" s="28"/>
      <c r="AN127" s="28"/>
      <c r="AO127" s="28"/>
      <c r="AP127" s="28"/>
      <c r="AQ127" s="5"/>
      <c r="AR127" s="222"/>
    </row>
    <row r="128" spans="1:44" s="1" customFormat="1" ht="13.5">
      <c r="A128" s="185"/>
      <c r="B128" s="1460"/>
      <c r="C128" s="37" t="s">
        <v>473</v>
      </c>
      <c r="D128" s="70">
        <v>365</v>
      </c>
      <c r="E128" s="70"/>
      <c r="F128" s="50">
        <v>0.62</v>
      </c>
      <c r="G128" s="50"/>
      <c r="H128" s="50"/>
      <c r="I128" s="37">
        <v>34</v>
      </c>
      <c r="J128" s="213"/>
      <c r="K128" s="305"/>
      <c r="L128" s="2659"/>
      <c r="M128" s="2659"/>
      <c r="N128" s="2659"/>
      <c r="O128" s="2659"/>
      <c r="P128" s="2659"/>
      <c r="Q128" s="2659"/>
      <c r="R128" s="2659"/>
      <c r="S128" s="2659"/>
      <c r="T128" s="2659"/>
      <c r="U128" s="2659"/>
      <c r="V128" s="2659"/>
      <c r="W128" s="454"/>
      <c r="X128" s="454"/>
      <c r="Y128" s="51"/>
      <c r="Z128" s="5"/>
      <c r="AA128" s="28"/>
      <c r="AB128" s="69"/>
      <c r="AC128" s="69"/>
      <c r="AD128" s="69"/>
      <c r="AE128" s="69"/>
      <c r="AF128" s="28"/>
      <c r="AG128" s="5"/>
      <c r="AH128" s="5"/>
      <c r="AI128" s="5"/>
      <c r="AJ128" s="28"/>
      <c r="AK128" s="28"/>
      <c r="AL128" s="28"/>
      <c r="AM128" s="28"/>
      <c r="AN128" s="28"/>
      <c r="AO128" s="28"/>
      <c r="AP128" s="28"/>
      <c r="AQ128" s="5"/>
      <c r="AR128" s="222"/>
    </row>
    <row r="129" spans="1:44" s="1" customFormat="1" ht="13.5">
      <c r="A129" s="185"/>
      <c r="B129" s="1460"/>
      <c r="C129" s="37" t="s">
        <v>468</v>
      </c>
      <c r="D129" s="70">
        <v>365</v>
      </c>
      <c r="E129" s="70"/>
      <c r="F129" s="50">
        <v>0.62</v>
      </c>
      <c r="G129" s="50"/>
      <c r="H129" s="50"/>
      <c r="I129" s="37">
        <v>57</v>
      </c>
      <c r="J129" s="213"/>
      <c r="K129" s="305"/>
      <c r="L129" s="185"/>
      <c r="M129" s="185"/>
      <c r="N129" s="147">
        <v>0.04</v>
      </c>
      <c r="O129" s="265">
        <v>0.04</v>
      </c>
      <c r="P129" s="222"/>
      <c r="Q129" s="222"/>
      <c r="R129" s="222"/>
      <c r="S129" s="222"/>
      <c r="T129" s="222"/>
      <c r="U129" s="222"/>
      <c r="V129" s="1488"/>
      <c r="W129" s="1488"/>
      <c r="X129" s="1488"/>
      <c r="Y129" s="294"/>
      <c r="Z129" s="294"/>
      <c r="AA129" s="294"/>
      <c r="AB129" s="1489"/>
      <c r="AC129" s="1489"/>
      <c r="AD129" s="1490"/>
      <c r="AE129" s="1490"/>
      <c r="AF129" s="1491"/>
      <c r="AG129" s="294"/>
      <c r="AH129" s="294"/>
      <c r="AI129" s="294"/>
      <c r="AJ129" s="1492"/>
      <c r="AK129" s="1492"/>
      <c r="AL129" s="1492"/>
      <c r="AM129" s="1492"/>
      <c r="AN129" s="1492"/>
      <c r="AO129" s="1492"/>
      <c r="AP129" s="1492"/>
      <c r="AQ129" s="294"/>
      <c r="AR129" s="222"/>
    </row>
    <row r="130" spans="1:44" s="1" customFormat="1" ht="13.5">
      <c r="A130" s="185"/>
      <c r="B130" s="1460"/>
      <c r="C130" s="71" t="s">
        <v>470</v>
      </c>
      <c r="D130" s="70">
        <v>365</v>
      </c>
      <c r="E130" s="70"/>
      <c r="F130" s="50">
        <v>0.62</v>
      </c>
      <c r="G130" s="50"/>
      <c r="H130" s="50"/>
      <c r="I130" s="37">
        <v>10</v>
      </c>
      <c r="J130" s="213"/>
      <c r="K130" s="305"/>
      <c r="L130" s="185"/>
      <c r="M130" s="185"/>
      <c r="N130" s="148">
        <v>4.15</v>
      </c>
      <c r="O130" s="266">
        <v>4.15</v>
      </c>
      <c r="P130" s="222"/>
      <c r="Q130" s="222"/>
      <c r="R130" s="222"/>
      <c r="S130" s="222"/>
      <c r="T130" s="222"/>
      <c r="U130" s="222"/>
      <c r="V130" s="1488"/>
      <c r="W130" s="1488"/>
      <c r="X130" s="1488"/>
      <c r="Y130" s="294"/>
      <c r="Z130" s="294"/>
      <c r="AA130" s="294"/>
      <c r="AB130" s="307"/>
      <c r="AC130" s="304"/>
      <c r="AD130" s="1490"/>
      <c r="AE130" s="1490"/>
      <c r="AF130" s="1491"/>
      <c r="AG130" s="294"/>
      <c r="AH130" s="294"/>
      <c r="AI130" s="294"/>
      <c r="AJ130" s="1492"/>
      <c r="AK130" s="1492"/>
      <c r="AL130" s="1492"/>
      <c r="AM130" s="1492"/>
      <c r="AN130" s="1492"/>
      <c r="AO130" s="1492"/>
      <c r="AP130" s="1492"/>
      <c r="AQ130" s="294"/>
      <c r="AR130" s="222"/>
    </row>
    <row r="131" spans="1:44" s="1" customFormat="1" ht="14.25" customHeight="1">
      <c r="A131" s="185"/>
      <c r="B131" s="1460"/>
      <c r="C131" s="71" t="s">
        <v>305</v>
      </c>
      <c r="D131" s="70"/>
      <c r="E131" s="70"/>
      <c r="F131" s="50"/>
      <c r="G131" s="50"/>
      <c r="H131" s="50"/>
      <c r="I131" s="37"/>
      <c r="J131" s="213"/>
      <c r="K131" s="305"/>
      <c r="L131" s="185"/>
      <c r="M131" s="185"/>
      <c r="N131" s="149" t="s">
        <v>369</v>
      </c>
      <c r="O131" s="149" t="s">
        <v>371</v>
      </c>
      <c r="P131" s="222"/>
      <c r="Q131" s="222"/>
      <c r="R131" s="222"/>
      <c r="S131" s="222"/>
      <c r="T131" s="222"/>
      <c r="U131" s="222"/>
      <c r="V131" s="1488"/>
      <c r="W131" s="1488"/>
      <c r="X131" s="1488"/>
      <c r="Y131" s="294"/>
      <c r="Z131" s="294"/>
      <c r="AA131" s="294"/>
      <c r="AB131" s="307"/>
      <c r="AC131" s="304"/>
      <c r="AD131" s="1490"/>
      <c r="AE131" s="1490"/>
      <c r="AF131" s="1491"/>
      <c r="AG131" s="294"/>
      <c r="AH131" s="294"/>
      <c r="AI131" s="294"/>
      <c r="AJ131" s="294"/>
      <c r="AK131" s="294"/>
      <c r="AL131" s="294"/>
      <c r="AM131" s="294"/>
      <c r="AN131" s="294"/>
      <c r="AO131" s="294"/>
      <c r="AP131" s="294"/>
      <c r="AQ131" s="294"/>
      <c r="AR131" s="222"/>
    </row>
    <row r="132" spans="1:44" s="1" customFormat="1" ht="14.25" customHeight="1">
      <c r="A132" s="185"/>
      <c r="B132" s="1460"/>
      <c r="C132" s="1460"/>
      <c r="D132" s="1460"/>
      <c r="E132" s="1460"/>
      <c r="F132" s="1460"/>
      <c r="G132" s="1460"/>
      <c r="H132" s="1460"/>
      <c r="I132" s="1460"/>
      <c r="J132" s="1460"/>
      <c r="K132" s="305"/>
      <c r="L132" s="185"/>
      <c r="M132" s="185"/>
      <c r="N132" s="150" t="s">
        <v>370</v>
      </c>
      <c r="O132" s="150" t="s">
        <v>370</v>
      </c>
      <c r="P132" s="222"/>
      <c r="Q132" s="1493"/>
      <c r="R132" s="1493"/>
      <c r="S132" s="1493"/>
      <c r="T132" s="1493"/>
      <c r="U132" s="1493"/>
      <c r="V132" s="1488"/>
      <c r="W132" s="1488"/>
      <c r="X132" s="1488"/>
      <c r="Y132" s="294"/>
      <c r="Z132" s="294"/>
      <c r="AA132" s="294"/>
      <c r="AB132" s="307"/>
      <c r="AC132" s="304"/>
      <c r="AD132" s="1490"/>
      <c r="AE132" s="1490"/>
      <c r="AF132" s="1491"/>
      <c r="AG132" s="294"/>
      <c r="AH132" s="294"/>
      <c r="AI132" s="294"/>
      <c r="AJ132" s="294"/>
      <c r="AK132" s="294"/>
      <c r="AL132" s="294"/>
      <c r="AM132" s="294"/>
      <c r="AN132" s="294"/>
      <c r="AO132" s="294"/>
      <c r="AP132" s="294"/>
      <c r="AQ132" s="294"/>
      <c r="AR132" s="222"/>
    </row>
    <row r="133" spans="1:44" s="1" customFormat="1" ht="14.25" customHeight="1">
      <c r="A133" s="185"/>
      <c r="B133" s="1460"/>
      <c r="C133" s="1460" t="s">
        <v>474</v>
      </c>
      <c r="D133" s="1460"/>
      <c r="E133" s="1460"/>
      <c r="F133" s="1460"/>
      <c r="G133" s="1460"/>
      <c r="H133" s="1460"/>
      <c r="I133" s="1460"/>
      <c r="J133" s="1460"/>
      <c r="K133" s="305"/>
      <c r="L133" s="215"/>
      <c r="M133" s="169"/>
      <c r="N133" s="169"/>
      <c r="O133" s="169"/>
      <c r="P133" s="222"/>
      <c r="Q133" s="1493"/>
      <c r="R133" s="1493"/>
      <c r="S133" s="1493"/>
      <c r="T133" s="1493"/>
      <c r="U133" s="1493"/>
      <c r="V133" s="1493"/>
      <c r="W133" s="1494" t="s">
        <v>429</v>
      </c>
      <c r="X133" s="1494" t="s">
        <v>429</v>
      </c>
      <c r="Y133" s="1494" t="s">
        <v>429</v>
      </c>
      <c r="Z133" s="1494" t="s">
        <v>429</v>
      </c>
      <c r="AA133" s="1494" t="s">
        <v>429</v>
      </c>
      <c r="AB133" s="1494" t="s">
        <v>429</v>
      </c>
      <c r="AC133" s="1494" t="s">
        <v>429</v>
      </c>
      <c r="AD133" s="1494" t="s">
        <v>429</v>
      </c>
      <c r="AE133" s="1494" t="s">
        <v>429</v>
      </c>
      <c r="AF133" s="1494" t="s">
        <v>429</v>
      </c>
      <c r="AG133" s="1494" t="s">
        <v>429</v>
      </c>
      <c r="AH133" s="1494" t="s">
        <v>429</v>
      </c>
      <c r="AI133" s="1495" t="s">
        <v>383</v>
      </c>
      <c r="AJ133" s="1495" t="s">
        <v>383</v>
      </c>
      <c r="AK133" s="1495" t="s">
        <v>383</v>
      </c>
      <c r="AL133" s="1495" t="s">
        <v>383</v>
      </c>
      <c r="AM133" s="1495" t="s">
        <v>383</v>
      </c>
      <c r="AN133" s="1495" t="s">
        <v>383</v>
      </c>
      <c r="AO133" s="1495" t="s">
        <v>383</v>
      </c>
      <c r="AP133" s="1495" t="s">
        <v>383</v>
      </c>
      <c r="AQ133" s="1495" t="s">
        <v>383</v>
      </c>
      <c r="AR133" s="222"/>
    </row>
    <row r="134" spans="1:44" s="1" customFormat="1" ht="14.25" customHeight="1">
      <c r="A134" s="185"/>
      <c r="B134" s="1460"/>
      <c r="C134" s="37" t="s">
        <v>466</v>
      </c>
      <c r="D134" s="70">
        <v>365</v>
      </c>
      <c r="E134" s="70"/>
      <c r="F134" s="50">
        <v>0.62</v>
      </c>
      <c r="G134" s="50"/>
      <c r="H134" s="50"/>
      <c r="I134" s="37">
        <v>9.5</v>
      </c>
      <c r="J134" s="37">
        <v>36</v>
      </c>
      <c r="K134" s="305"/>
      <c r="L134" s="215"/>
      <c r="M134" s="305"/>
      <c r="N134" s="305"/>
      <c r="O134" s="305"/>
      <c r="P134" s="305"/>
      <c r="Q134" s="305"/>
      <c r="R134" s="305"/>
      <c r="S134" s="305"/>
      <c r="T134" s="305"/>
      <c r="U134" s="305"/>
      <c r="V134" s="305"/>
      <c r="W134" s="305"/>
      <c r="X134" s="305"/>
      <c r="Y134" s="305"/>
      <c r="Z134" s="305"/>
      <c r="AA134" s="305"/>
      <c r="AB134" s="305"/>
      <c r="AC134" s="305"/>
      <c r="AD134" s="305"/>
      <c r="AE134" s="305"/>
      <c r="AF134" s="305"/>
      <c r="AG134" s="305"/>
      <c r="AH134" s="305"/>
      <c r="AI134" s="305"/>
      <c r="AJ134" s="305"/>
      <c r="AK134" s="305"/>
      <c r="AL134" s="305"/>
      <c r="AM134" s="305"/>
      <c r="AN134" s="305"/>
      <c r="AO134" s="305"/>
      <c r="AP134" s="305"/>
      <c r="AQ134" s="305"/>
      <c r="AR134" s="305"/>
    </row>
    <row r="135" spans="1:44" s="1" customFormat="1" ht="14.25" customHeight="1">
      <c r="A135" s="185"/>
      <c r="B135" s="1460"/>
      <c r="C135" s="71" t="s">
        <v>305</v>
      </c>
      <c r="D135" s="70"/>
      <c r="E135" s="70"/>
      <c r="F135" s="50"/>
      <c r="G135" s="50"/>
      <c r="H135" s="50"/>
      <c r="I135" s="37"/>
      <c r="J135" s="37"/>
      <c r="K135" s="305"/>
      <c r="L135" s="215"/>
      <c r="M135" s="305"/>
      <c r="N135" s="305"/>
      <c r="O135" s="305"/>
      <c r="P135" s="305"/>
      <c r="Q135" s="305"/>
      <c r="R135" s="305"/>
      <c r="S135" s="305"/>
      <c r="T135" s="305"/>
      <c r="U135" s="305"/>
      <c r="V135" s="305"/>
      <c r="W135" s="305"/>
      <c r="X135" s="305"/>
      <c r="Y135" s="305"/>
      <c r="Z135" s="305"/>
      <c r="AA135" s="305"/>
      <c r="AB135" s="305"/>
      <c r="AC135" s="305"/>
      <c r="AD135" s="305"/>
      <c r="AE135" s="305"/>
      <c r="AF135" s="305"/>
      <c r="AG135" s="305"/>
      <c r="AH135" s="305"/>
      <c r="AI135" s="305"/>
      <c r="AJ135" s="305"/>
      <c r="AK135" s="305"/>
      <c r="AL135" s="305"/>
      <c r="AM135" s="305"/>
      <c r="AN135" s="305"/>
      <c r="AO135" s="305"/>
      <c r="AP135" s="305"/>
      <c r="AQ135" s="305"/>
      <c r="AR135" s="305"/>
    </row>
    <row r="136" spans="1:44" s="1" customFormat="1" ht="14.25" customHeight="1">
      <c r="A136" s="185"/>
      <c r="B136" s="243"/>
      <c r="C136" s="243"/>
      <c r="D136" s="1461" t="s">
        <v>400</v>
      </c>
      <c r="E136" s="1461"/>
      <c r="F136" s="1462" t="s">
        <v>401</v>
      </c>
      <c r="G136" s="1462"/>
      <c r="H136" s="1462"/>
      <c r="I136" s="1461" t="s">
        <v>402</v>
      </c>
      <c r="J136" s="1461" t="s">
        <v>402</v>
      </c>
      <c r="K136" s="1461" t="s">
        <v>402</v>
      </c>
      <c r="L136" s="1461" t="s">
        <v>400</v>
      </c>
      <c r="M136" s="332" t="s">
        <v>72</v>
      </c>
      <c r="N136" s="333"/>
      <c r="O136" s="218"/>
      <c r="P136" s="222"/>
      <c r="Q136" s="1493"/>
      <c r="R136" s="1493"/>
      <c r="S136" s="1493"/>
      <c r="T136" s="1493"/>
      <c r="U136" s="1493"/>
      <c r="V136" s="1488"/>
      <c r="W136" s="1488"/>
      <c r="X136" s="1488"/>
      <c r="Y136" s="218"/>
      <c r="Z136" s="218"/>
      <c r="AA136" s="218"/>
      <c r="AB136" s="219"/>
      <c r="AC136" s="1487"/>
      <c r="AD136" s="1496"/>
      <c r="AE136" s="1496"/>
      <c r="AF136" s="1496"/>
      <c r="AG136" s="218"/>
      <c r="AH136" s="218"/>
      <c r="AI136" s="218"/>
      <c r="AJ136" s="218"/>
      <c r="AK136" s="218"/>
      <c r="AL136" s="218"/>
      <c r="AM136" s="218"/>
      <c r="AN136" s="218"/>
      <c r="AO136" s="218"/>
      <c r="AP136" s="218"/>
      <c r="AQ136" s="218"/>
      <c r="AR136" s="222"/>
    </row>
    <row r="137" spans="1:44" s="1" customFormat="1" ht="15" customHeight="1">
      <c r="A137" s="185"/>
      <c r="B137" s="407" t="s">
        <v>437</v>
      </c>
      <c r="C137" s="407"/>
      <c r="D137" s="1461" t="s">
        <v>410</v>
      </c>
      <c r="E137" s="1461"/>
      <c r="F137" s="1462" t="s">
        <v>411</v>
      </c>
      <c r="G137" s="1462"/>
      <c r="H137" s="1462"/>
      <c r="I137" s="1461" t="s">
        <v>475</v>
      </c>
      <c r="J137" s="1566" t="s">
        <v>476</v>
      </c>
      <c r="K137" s="1461" t="s">
        <v>412</v>
      </c>
      <c r="L137" s="1461" t="s">
        <v>477</v>
      </c>
      <c r="M137" s="2239" t="s">
        <v>506</v>
      </c>
      <c r="N137" s="2239" t="s">
        <v>255</v>
      </c>
      <c r="O137" s="218"/>
      <c r="P137" s="222"/>
      <c r="Q137" s="1493"/>
      <c r="R137" s="1493"/>
      <c r="S137" s="1493"/>
      <c r="T137" s="1493"/>
      <c r="U137" s="1493"/>
      <c r="V137" s="1488"/>
      <c r="W137" s="1488"/>
      <c r="X137" s="1488"/>
      <c r="Y137" s="218"/>
      <c r="Z137" s="218"/>
      <c r="AA137" s="218"/>
      <c r="AB137" s="219"/>
      <c r="AC137" s="1487"/>
      <c r="AD137" s="1496"/>
      <c r="AE137" s="1496"/>
      <c r="AF137" s="1496"/>
      <c r="AG137" s="218"/>
      <c r="AH137" s="218"/>
      <c r="AI137" s="218"/>
      <c r="AJ137" s="218"/>
      <c r="AK137" s="218"/>
      <c r="AL137" s="218"/>
      <c r="AM137" s="218"/>
      <c r="AN137" s="218"/>
      <c r="AO137" s="218"/>
      <c r="AP137" s="218"/>
      <c r="AQ137" s="218"/>
      <c r="AR137" s="222"/>
    </row>
    <row r="138" spans="1:44" s="1" customFormat="1" ht="14.25" customHeight="1">
      <c r="A138" s="185"/>
      <c r="B138" s="407"/>
      <c r="C138" s="263" t="s">
        <v>478</v>
      </c>
      <c r="D138" s="72">
        <f aca="true" t="shared" si="72" ref="D138:D144">L138*$D$24/100</f>
        <v>194.25</v>
      </c>
      <c r="E138" s="72"/>
      <c r="F138" s="50">
        <v>0.62</v>
      </c>
      <c r="G138" s="50"/>
      <c r="H138" s="50"/>
      <c r="I138" s="70">
        <f aca="true" t="shared" si="73" ref="I138:I144">(K138*J138)/100</f>
        <v>908.8</v>
      </c>
      <c r="J138" s="37">
        <v>71</v>
      </c>
      <c r="K138" s="50">
        <v>1280</v>
      </c>
      <c r="L138" s="50">
        <v>259</v>
      </c>
      <c r="M138" s="2240">
        <v>13</v>
      </c>
      <c r="N138" s="2240">
        <v>15</v>
      </c>
      <c r="O138" s="218"/>
      <c r="P138" s="222"/>
      <c r="Q138" s="1493"/>
      <c r="R138" s="1493"/>
      <c r="S138" s="1493"/>
      <c r="T138" s="1493"/>
      <c r="U138" s="1493"/>
      <c r="V138" s="1488"/>
      <c r="W138" s="1488"/>
      <c r="X138" s="1488"/>
      <c r="Y138" s="218"/>
      <c r="Z138" s="218"/>
      <c r="AA138" s="218"/>
      <c r="AB138" s="219"/>
      <c r="AC138" s="218"/>
      <c r="AD138" s="1496"/>
      <c r="AE138" s="1496"/>
      <c r="AF138" s="1496"/>
      <c r="AG138" s="218"/>
      <c r="AH138" s="218"/>
      <c r="AI138" s="218"/>
      <c r="AJ138" s="1496"/>
      <c r="AK138" s="1496"/>
      <c r="AL138" s="1496"/>
      <c r="AM138" s="1496"/>
      <c r="AN138" s="1496"/>
      <c r="AO138" s="1496"/>
      <c r="AP138" s="1496"/>
      <c r="AQ138" s="218"/>
      <c r="AR138" s="222"/>
    </row>
    <row r="139" spans="1:44" s="1" customFormat="1" ht="14.25" customHeight="1">
      <c r="A139" s="185"/>
      <c r="B139" s="407"/>
      <c r="C139" s="263" t="s">
        <v>479</v>
      </c>
      <c r="D139" s="72">
        <f t="shared" si="72"/>
        <v>213.75</v>
      </c>
      <c r="E139" s="72"/>
      <c r="F139" s="50">
        <v>0.62</v>
      </c>
      <c r="G139" s="50"/>
      <c r="H139" s="50"/>
      <c r="I139" s="70">
        <f t="shared" si="73"/>
        <v>763.2</v>
      </c>
      <c r="J139" s="37">
        <v>72</v>
      </c>
      <c r="K139" s="50">
        <v>1060</v>
      </c>
      <c r="L139" s="50">
        <v>285</v>
      </c>
      <c r="M139" s="2240">
        <v>7</v>
      </c>
      <c r="N139" s="2240">
        <v>8</v>
      </c>
      <c r="O139" s="218"/>
      <c r="P139" s="222"/>
      <c r="Q139" s="1497"/>
      <c r="R139" s="1497"/>
      <c r="S139" s="1488"/>
      <c r="T139" s="1488"/>
      <c r="U139" s="1488"/>
      <c r="V139" s="1488"/>
      <c r="W139" s="1488"/>
      <c r="X139" s="1488"/>
      <c r="Y139" s="218"/>
      <c r="Z139" s="218"/>
      <c r="AA139" s="218"/>
      <c r="AB139" s="219"/>
      <c r="AC139" s="1487"/>
      <c r="AD139" s="1496"/>
      <c r="AE139" s="1496"/>
      <c r="AF139" s="1496"/>
      <c r="AG139" s="218"/>
      <c r="AH139" s="218"/>
      <c r="AI139" s="218"/>
      <c r="AJ139" s="1496"/>
      <c r="AK139" s="1496"/>
      <c r="AL139" s="1496"/>
      <c r="AM139" s="1496"/>
      <c r="AN139" s="1496"/>
      <c r="AO139" s="1496"/>
      <c r="AP139" s="1496"/>
      <c r="AQ139" s="218"/>
      <c r="AR139" s="222"/>
    </row>
    <row r="140" spans="1:44" s="1" customFormat="1" ht="14.25" customHeight="1">
      <c r="A140" s="185"/>
      <c r="B140" s="407"/>
      <c r="C140" s="263" t="s">
        <v>480</v>
      </c>
      <c r="D140" s="72">
        <f t="shared" si="72"/>
        <v>212.25</v>
      </c>
      <c r="E140" s="72"/>
      <c r="F140" s="50">
        <v>0.62</v>
      </c>
      <c r="G140" s="50"/>
      <c r="H140" s="50"/>
      <c r="I140" s="70">
        <f t="shared" si="73"/>
        <v>77.7</v>
      </c>
      <c r="J140" s="37">
        <v>74</v>
      </c>
      <c r="K140" s="50">
        <v>105</v>
      </c>
      <c r="L140" s="50">
        <v>283</v>
      </c>
      <c r="M140" s="2240">
        <v>26</v>
      </c>
      <c r="N140" s="2240">
        <v>29</v>
      </c>
      <c r="O140" s="218"/>
      <c r="P140" s="1493"/>
      <c r="Q140" s="1497"/>
      <c r="R140" s="1497"/>
      <c r="S140" s="1488"/>
      <c r="T140" s="1488"/>
      <c r="U140" s="1488"/>
      <c r="V140" s="1488"/>
      <c r="W140" s="1488"/>
      <c r="X140" s="1488"/>
      <c r="Y140" s="218"/>
      <c r="Z140" s="218"/>
      <c r="AA140" s="218"/>
      <c r="AB140" s="219"/>
      <c r="AC140" s="1487"/>
      <c r="AD140" s="1496"/>
      <c r="AE140" s="1496"/>
      <c r="AF140" s="1496"/>
      <c r="AG140" s="218"/>
      <c r="AH140" s="218"/>
      <c r="AI140" s="218"/>
      <c r="AJ140" s="218"/>
      <c r="AK140" s="218"/>
      <c r="AL140" s="218"/>
      <c r="AM140" s="218"/>
      <c r="AN140" s="218"/>
      <c r="AO140" s="218"/>
      <c r="AP140" s="218"/>
      <c r="AQ140" s="218"/>
      <c r="AR140" s="222"/>
    </row>
    <row r="141" spans="1:44" s="1" customFormat="1" ht="14.25" customHeight="1">
      <c r="A141" s="185"/>
      <c r="B141" s="407"/>
      <c r="C141" s="263" t="s">
        <v>482</v>
      </c>
      <c r="D141" s="72">
        <f t="shared" si="72"/>
        <v>204</v>
      </c>
      <c r="E141" s="72"/>
      <c r="F141" s="50">
        <v>0.62</v>
      </c>
      <c r="G141" s="50"/>
      <c r="H141" s="50"/>
      <c r="I141" s="70">
        <f t="shared" si="73"/>
        <v>103.6</v>
      </c>
      <c r="J141" s="37">
        <v>74</v>
      </c>
      <c r="K141" s="50">
        <v>140</v>
      </c>
      <c r="L141" s="50">
        <v>272</v>
      </c>
      <c r="M141" s="2240">
        <v>26</v>
      </c>
      <c r="N141" s="2240">
        <v>29</v>
      </c>
      <c r="O141" s="218"/>
      <c r="P141" s="1493"/>
      <c r="Q141" s="1497"/>
      <c r="R141" s="1497"/>
      <c r="S141" s="1488"/>
      <c r="T141" s="1488"/>
      <c r="U141" s="1488"/>
      <c r="V141" s="1488"/>
      <c r="W141" s="1488"/>
      <c r="X141" s="1488"/>
      <c r="Y141" s="218"/>
      <c r="Z141" s="218"/>
      <c r="AA141" s="218"/>
      <c r="AB141" s="219"/>
      <c r="AC141" s="1487"/>
      <c r="AD141" s="1496"/>
      <c r="AE141" s="1496"/>
      <c r="AF141" s="1496"/>
      <c r="AG141" s="218"/>
      <c r="AH141" s="218"/>
      <c r="AI141" s="218"/>
      <c r="AJ141" s="218"/>
      <c r="AK141" s="218"/>
      <c r="AL141" s="218"/>
      <c r="AM141" s="218"/>
      <c r="AN141" s="218"/>
      <c r="AO141" s="218"/>
      <c r="AP141" s="218"/>
      <c r="AQ141" s="218"/>
      <c r="AR141" s="222"/>
    </row>
    <row r="142" spans="1:44" s="1" customFormat="1" ht="14.25" customHeight="1">
      <c r="A142" s="185"/>
      <c r="B142" s="407"/>
      <c r="C142" s="263" t="s">
        <v>483</v>
      </c>
      <c r="D142" s="72">
        <f t="shared" si="72"/>
        <v>203.25</v>
      </c>
      <c r="E142" s="72"/>
      <c r="F142" s="50">
        <v>0.62</v>
      </c>
      <c r="G142" s="50"/>
      <c r="H142" s="50"/>
      <c r="I142" s="70">
        <f t="shared" si="73"/>
        <v>148</v>
      </c>
      <c r="J142" s="37">
        <v>74</v>
      </c>
      <c r="K142" s="50">
        <v>200</v>
      </c>
      <c r="L142" s="50">
        <v>271</v>
      </c>
      <c r="M142" s="2240">
        <v>26</v>
      </c>
      <c r="N142" s="2240">
        <v>29</v>
      </c>
      <c r="O142" s="218"/>
      <c r="P142" s="1493"/>
      <c r="Q142" s="1497"/>
      <c r="R142" s="1497"/>
      <c r="S142" s="1488"/>
      <c r="T142" s="1488"/>
      <c r="U142" s="1488"/>
      <c r="V142" s="1488"/>
      <c r="W142" s="1488"/>
      <c r="X142" s="1488"/>
      <c r="Y142" s="218"/>
      <c r="Z142" s="218"/>
      <c r="AA142" s="218"/>
      <c r="AB142" s="219"/>
      <c r="AC142" s="1487"/>
      <c r="AD142" s="1496"/>
      <c r="AE142" s="1496"/>
      <c r="AF142" s="1496"/>
      <c r="AG142" s="218"/>
      <c r="AH142" s="218"/>
      <c r="AI142" s="218"/>
      <c r="AJ142" s="218"/>
      <c r="AK142" s="218"/>
      <c r="AL142" s="218"/>
      <c r="AM142" s="218"/>
      <c r="AN142" s="218"/>
      <c r="AO142" s="218"/>
      <c r="AP142" s="218"/>
      <c r="AQ142" s="218"/>
      <c r="AR142" s="222"/>
    </row>
    <row r="143" spans="1:44" s="1" customFormat="1" ht="14.25" customHeight="1">
      <c r="A143" s="185"/>
      <c r="B143" s="407"/>
      <c r="C143" s="263" t="s">
        <v>484</v>
      </c>
      <c r="D143" s="72">
        <f t="shared" si="72"/>
        <v>207</v>
      </c>
      <c r="E143" s="72"/>
      <c r="F143" s="50">
        <v>0.62</v>
      </c>
      <c r="G143" s="50"/>
      <c r="H143" s="50"/>
      <c r="I143" s="70">
        <f t="shared" si="73"/>
        <v>902.8</v>
      </c>
      <c r="J143" s="37">
        <v>74</v>
      </c>
      <c r="K143" s="50">
        <v>1220</v>
      </c>
      <c r="L143" s="50">
        <v>276</v>
      </c>
      <c r="M143" s="2240">
        <v>13</v>
      </c>
      <c r="N143" s="2240">
        <v>15</v>
      </c>
      <c r="O143" s="218"/>
      <c r="P143" s="1493"/>
      <c r="Q143" s="1497"/>
      <c r="R143" s="1497"/>
      <c r="S143" s="1488"/>
      <c r="T143" s="1488"/>
      <c r="U143" s="1488"/>
      <c r="V143" s="1488"/>
      <c r="W143" s="1488"/>
      <c r="X143" s="1488"/>
      <c r="Y143" s="218"/>
      <c r="Z143" s="218"/>
      <c r="AA143" s="218"/>
      <c r="AB143" s="219"/>
      <c r="AC143" s="1487"/>
      <c r="AD143" s="1496"/>
      <c r="AE143" s="1496"/>
      <c r="AF143" s="1496"/>
      <c r="AG143" s="218"/>
      <c r="AH143" s="218"/>
      <c r="AI143" s="218"/>
      <c r="AJ143" s="218"/>
      <c r="AK143" s="218"/>
      <c r="AL143" s="218"/>
      <c r="AM143" s="218"/>
      <c r="AN143" s="218"/>
      <c r="AO143" s="218"/>
      <c r="AP143" s="218"/>
      <c r="AQ143" s="218"/>
      <c r="AR143" s="222"/>
    </row>
    <row r="144" spans="1:44" s="1" customFormat="1" ht="14.25" customHeight="1">
      <c r="A144" s="185"/>
      <c r="B144" s="407"/>
      <c r="C144" s="71" t="s">
        <v>305</v>
      </c>
      <c r="D144" s="72">
        <f t="shared" si="72"/>
        <v>0</v>
      </c>
      <c r="E144" s="72"/>
      <c r="F144" s="50"/>
      <c r="G144" s="50"/>
      <c r="H144" s="50"/>
      <c r="I144" s="70">
        <f t="shared" si="73"/>
        <v>0</v>
      </c>
      <c r="J144" s="37"/>
      <c r="K144" s="50"/>
      <c r="L144" s="50"/>
      <c r="M144" s="1518"/>
      <c r="N144" s="1518"/>
      <c r="O144" s="218"/>
      <c r="P144" s="1493"/>
      <c r="Q144" s="1497"/>
      <c r="R144" s="1497"/>
      <c r="S144" s="1488"/>
      <c r="T144" s="1488"/>
      <c r="U144" s="1488"/>
      <c r="V144" s="1488"/>
      <c r="W144" s="1488"/>
      <c r="X144" s="1488"/>
      <c r="Y144" s="218"/>
      <c r="Z144" s="218"/>
      <c r="AA144" s="218"/>
      <c r="AB144" s="1487"/>
      <c r="AC144" s="1487"/>
      <c r="AD144" s="1496"/>
      <c r="AE144" s="1496"/>
      <c r="AF144" s="1496"/>
      <c r="AG144" s="218"/>
      <c r="AH144" s="218"/>
      <c r="AI144" s="218"/>
      <c r="AJ144" s="218"/>
      <c r="AK144" s="218"/>
      <c r="AL144" s="218"/>
      <c r="AM144" s="218"/>
      <c r="AN144" s="218"/>
      <c r="AO144" s="218"/>
      <c r="AP144" s="218"/>
      <c r="AQ144" s="218"/>
      <c r="AR144" s="222"/>
    </row>
    <row r="145" spans="1:44" s="1" customFormat="1" ht="13.5">
      <c r="A145" s="185"/>
      <c r="B145" s="407"/>
      <c r="C145" s="243"/>
      <c r="D145" s="1564"/>
      <c r="E145" s="1564"/>
      <c r="F145" s="1564"/>
      <c r="G145" s="1564"/>
      <c r="H145" s="1564"/>
      <c r="I145" s="1564"/>
      <c r="J145" s="1445"/>
      <c r="K145" s="215"/>
      <c r="L145" s="215"/>
      <c r="M145" s="169"/>
      <c r="N145" s="169"/>
      <c r="O145" s="218"/>
      <c r="P145" s="1493"/>
      <c r="Q145" s="1497"/>
      <c r="R145" s="1497"/>
      <c r="S145" s="1488"/>
      <c r="T145" s="1488"/>
      <c r="U145" s="1488"/>
      <c r="V145" s="1488"/>
      <c r="W145" s="1488"/>
      <c r="X145" s="1488"/>
      <c r="Y145" s="222"/>
      <c r="Z145" s="222"/>
      <c r="AA145" s="222"/>
      <c r="AB145" s="222"/>
      <c r="AC145" s="222"/>
      <c r="AD145" s="222"/>
      <c r="AE145" s="222"/>
      <c r="AF145" s="222"/>
      <c r="AG145" s="222"/>
      <c r="AH145" s="222"/>
      <c r="AI145" s="222"/>
      <c r="AJ145" s="222"/>
      <c r="AK145" s="222"/>
      <c r="AL145" s="222"/>
      <c r="AM145" s="222"/>
      <c r="AN145" s="222"/>
      <c r="AO145" s="222"/>
      <c r="AP145" s="222"/>
      <c r="AQ145" s="222"/>
      <c r="AR145" s="222"/>
    </row>
    <row r="146" spans="1:44" s="1" customFormat="1" ht="13.5">
      <c r="A146" s="185"/>
      <c r="B146" s="407" t="s">
        <v>407</v>
      </c>
      <c r="C146" s="1460"/>
      <c r="D146" s="1564"/>
      <c r="E146" s="1564"/>
      <c r="F146" s="1564"/>
      <c r="G146" s="1564"/>
      <c r="H146" s="1564"/>
      <c r="I146" s="1564"/>
      <c r="J146" s="1031"/>
      <c r="K146" s="1031"/>
      <c r="L146" s="463"/>
      <c r="M146" s="2657" t="s">
        <v>732</v>
      </c>
      <c r="N146" s="2657"/>
      <c r="O146" s="2657"/>
      <c r="P146" s="1493"/>
      <c r="Q146" s="1497"/>
      <c r="R146" s="1497"/>
      <c r="S146" s="1488"/>
      <c r="T146" s="1488"/>
      <c r="U146" s="1488"/>
      <c r="V146" s="1488"/>
      <c r="W146" s="1488"/>
      <c r="X146" s="1488"/>
      <c r="Y146" s="222"/>
      <c r="Z146" s="222"/>
      <c r="AA146" s="222"/>
      <c r="AB146" s="222"/>
      <c r="AC146" s="222"/>
      <c r="AD146" s="222"/>
      <c r="AE146" s="222"/>
      <c r="AF146" s="222"/>
      <c r="AG146" s="222"/>
      <c r="AH146" s="222"/>
      <c r="AI146" s="222"/>
      <c r="AJ146" s="222"/>
      <c r="AK146" s="222"/>
      <c r="AL146" s="222"/>
      <c r="AM146" s="222"/>
      <c r="AN146" s="222"/>
      <c r="AO146" s="222"/>
      <c r="AP146" s="222"/>
      <c r="AQ146" s="222"/>
      <c r="AR146" s="222"/>
    </row>
    <row r="147" spans="1:44" s="1" customFormat="1" ht="13.5">
      <c r="A147" s="185"/>
      <c r="B147" s="1563"/>
      <c r="C147" s="50" t="s">
        <v>485</v>
      </c>
      <c r="D147" s="70">
        <v>375</v>
      </c>
      <c r="E147" s="70"/>
      <c r="F147" s="50">
        <v>1</v>
      </c>
      <c r="G147" s="50"/>
      <c r="H147" s="50"/>
      <c r="I147" s="50"/>
      <c r="J147" s="1031"/>
      <c r="K147" s="1031"/>
      <c r="L147" s="463"/>
      <c r="M147" s="2523" t="s">
        <v>932</v>
      </c>
      <c r="N147" s="2523"/>
      <c r="O147" s="185"/>
      <c r="P147" s="1504"/>
      <c r="Q147" s="1504"/>
      <c r="R147" s="1504"/>
      <c r="S147" s="1505"/>
      <c r="T147" s="1488"/>
      <c r="U147" s="1488"/>
      <c r="V147" s="1488"/>
      <c r="W147" s="1488"/>
      <c r="X147" s="1488"/>
      <c r="Y147" s="222"/>
      <c r="Z147" s="222"/>
      <c r="AA147" s="222"/>
      <c r="AB147" s="222"/>
      <c r="AC147" s="222"/>
      <c r="AD147" s="222"/>
      <c r="AE147" s="222"/>
      <c r="AF147" s="222"/>
      <c r="AG147" s="222"/>
      <c r="AH147" s="222"/>
      <c r="AI147" s="222"/>
      <c r="AJ147" s="222"/>
      <c r="AK147" s="222"/>
      <c r="AL147" s="222"/>
      <c r="AM147" s="222"/>
      <c r="AN147" s="222"/>
      <c r="AO147" s="222"/>
      <c r="AP147" s="222"/>
      <c r="AQ147" s="222"/>
      <c r="AR147" s="222"/>
    </row>
    <row r="148" spans="1:44" ht="13.5">
      <c r="A148" s="1031"/>
      <c r="B148" s="1563"/>
      <c r="C148" s="263" t="s">
        <v>486</v>
      </c>
      <c r="D148" s="70">
        <v>370</v>
      </c>
      <c r="E148" s="70"/>
      <c r="F148" s="50">
        <v>1</v>
      </c>
      <c r="G148" s="50"/>
      <c r="H148" s="50"/>
      <c r="I148" s="50">
        <v>16</v>
      </c>
      <c r="J148" s="1031"/>
      <c r="K148" s="1031"/>
      <c r="L148" s="463"/>
      <c r="M148" s="1501">
        <v>1</v>
      </c>
      <c r="N148" s="2684" t="s">
        <v>933</v>
      </c>
      <c r="O148" s="2684"/>
      <c r="P148" s="1501">
        <v>1</v>
      </c>
      <c r="Q148" s="1568" t="s">
        <v>934</v>
      </c>
      <c r="R148" s="1501">
        <v>69</v>
      </c>
      <c r="S148" s="1562" t="s">
        <v>413</v>
      </c>
      <c r="T148" s="1488"/>
      <c r="U148" s="1488"/>
      <c r="V148" s="1488"/>
      <c r="W148" s="1488"/>
      <c r="X148" s="1488"/>
      <c r="Y148" s="463"/>
      <c r="Z148" s="463"/>
      <c r="AA148" s="463"/>
      <c r="AB148" s="463"/>
      <c r="AC148" s="463"/>
      <c r="AD148" s="463"/>
      <c r="AE148" s="463"/>
      <c r="AF148" s="463"/>
      <c r="AG148" s="463"/>
      <c r="AH148" s="463"/>
      <c r="AI148" s="463"/>
      <c r="AJ148" s="463"/>
      <c r="AK148" s="463"/>
      <c r="AL148" s="463"/>
      <c r="AM148" s="463"/>
      <c r="AN148" s="463"/>
      <c r="AO148" s="463"/>
      <c r="AP148" s="463"/>
      <c r="AQ148" s="463"/>
      <c r="AR148" s="463"/>
    </row>
    <row r="149" spans="1:44" ht="15" customHeight="1">
      <c r="A149" s="1031"/>
      <c r="B149" s="1563"/>
      <c r="C149" s="50" t="s">
        <v>487</v>
      </c>
      <c r="D149" s="70">
        <v>319</v>
      </c>
      <c r="E149" s="70"/>
      <c r="F149" s="50">
        <v>0.85</v>
      </c>
      <c r="G149" s="50"/>
      <c r="H149" s="50"/>
      <c r="I149" s="50"/>
      <c r="J149" s="1031"/>
      <c r="K149" s="1031"/>
      <c r="L149" s="463"/>
      <c r="M149" s="2524" t="s">
        <v>1614</v>
      </c>
      <c r="N149" s="2524"/>
      <c r="O149" s="2524"/>
      <c r="P149" s="2524"/>
      <c r="Q149" s="2524"/>
      <c r="R149" s="2524"/>
      <c r="S149" s="2524"/>
      <c r="T149" s="2524"/>
      <c r="U149" s="2524"/>
      <c r="V149" s="2524"/>
      <c r="W149" s="1569"/>
      <c r="X149" s="1488"/>
      <c r="Y149" s="463"/>
      <c r="Z149" s="463"/>
      <c r="AA149" s="463"/>
      <c r="AB149" s="463"/>
      <c r="AC149" s="463"/>
      <c r="AD149" s="463"/>
      <c r="AE149" s="463"/>
      <c r="AF149" s="463"/>
      <c r="AG149" s="463"/>
      <c r="AH149" s="463"/>
      <c r="AI149" s="463"/>
      <c r="AJ149" s="463"/>
      <c r="AK149" s="463"/>
      <c r="AL149" s="463"/>
      <c r="AM149" s="463"/>
      <c r="AN149" s="463"/>
      <c r="AO149" s="463"/>
      <c r="AP149" s="463"/>
      <c r="AQ149" s="463"/>
      <c r="AR149" s="463"/>
    </row>
    <row r="150" spans="1:44" ht="13.5">
      <c r="A150" s="1031"/>
      <c r="B150" s="1564"/>
      <c r="C150" s="268" t="s">
        <v>488</v>
      </c>
      <c r="D150" s="70">
        <v>380</v>
      </c>
      <c r="E150" s="70"/>
      <c r="F150" s="50">
        <v>0</v>
      </c>
      <c r="G150" s="50"/>
      <c r="H150" s="50"/>
      <c r="I150" s="50">
        <v>30</v>
      </c>
      <c r="J150" s="1031"/>
      <c r="K150" s="1031"/>
      <c r="L150" s="463"/>
      <c r="M150" s="463"/>
      <c r="N150" s="463"/>
      <c r="O150" s="222"/>
      <c r="P150" s="1493"/>
      <c r="Q150" s="1497"/>
      <c r="R150" s="1497"/>
      <c r="S150" s="1488"/>
      <c r="T150" s="1488"/>
      <c r="U150" s="1488"/>
      <c r="V150" s="1488"/>
      <c r="W150" s="1488"/>
      <c r="X150" s="1488"/>
      <c r="Y150" s="463"/>
      <c r="Z150" s="463"/>
      <c r="AA150" s="463"/>
      <c r="AB150" s="463"/>
      <c r="AC150" s="463"/>
      <c r="AD150" s="463"/>
      <c r="AE150" s="463"/>
      <c r="AF150" s="463"/>
      <c r="AG150" s="463"/>
      <c r="AH150" s="463"/>
      <c r="AI150" s="463"/>
      <c r="AJ150" s="463"/>
      <c r="AK150" s="463"/>
      <c r="AL150" s="463"/>
      <c r="AM150" s="463"/>
      <c r="AN150" s="463"/>
      <c r="AO150" s="463"/>
      <c r="AP150" s="463"/>
      <c r="AQ150" s="463"/>
      <c r="AR150" s="463"/>
    </row>
    <row r="151" spans="1:44" ht="13.5">
      <c r="A151" s="1031"/>
      <c r="B151" s="1564"/>
      <c r="C151" s="71" t="s">
        <v>646</v>
      </c>
      <c r="D151" s="70">
        <f>0.8*375</f>
        <v>300</v>
      </c>
      <c r="E151" s="70"/>
      <c r="F151" s="50">
        <v>0.95</v>
      </c>
      <c r="G151" s="50"/>
      <c r="H151" s="50"/>
      <c r="I151" s="70">
        <v>10</v>
      </c>
      <c r="J151" s="1031"/>
      <c r="K151" s="1031"/>
      <c r="L151" s="463"/>
      <c r="M151" s="463"/>
      <c r="N151" s="463"/>
      <c r="O151" s="222"/>
      <c r="P151" s="1493"/>
      <c r="Q151" s="1497"/>
      <c r="R151" s="1497"/>
      <c r="S151" s="1488"/>
      <c r="T151" s="1488"/>
      <c r="U151" s="1488"/>
      <c r="V151" s="1488"/>
      <c r="W151" s="1488"/>
      <c r="X151" s="1488"/>
      <c r="Y151" s="1498"/>
      <c r="Z151" s="1498"/>
      <c r="AA151" s="1498"/>
      <c r="AB151" s="1498"/>
      <c r="AC151" s="1498"/>
      <c r="AD151" s="1498"/>
      <c r="AE151" s="1498"/>
      <c r="AF151" s="1498"/>
      <c r="AG151" s="1499" t="s">
        <v>382</v>
      </c>
      <c r="AH151" s="397"/>
      <c r="AI151" s="1499" t="s">
        <v>383</v>
      </c>
      <c r="AJ151" s="1499" t="s">
        <v>383</v>
      </c>
      <c r="AK151" s="1499" t="s">
        <v>383</v>
      </c>
      <c r="AL151" s="1499" t="s">
        <v>383</v>
      </c>
      <c r="AM151" s="1499" t="s">
        <v>383</v>
      </c>
      <c r="AN151" s="1499" t="s">
        <v>383</v>
      </c>
      <c r="AO151" s="1499" t="s">
        <v>383</v>
      </c>
      <c r="AP151" s="1499" t="s">
        <v>383</v>
      </c>
      <c r="AQ151" s="1499" t="s">
        <v>383</v>
      </c>
      <c r="AR151" s="463"/>
    </row>
    <row r="152" spans="1:44" ht="13.5">
      <c r="A152" s="1031"/>
      <c r="B152" s="1565"/>
      <c r="C152" s="1031"/>
      <c r="D152" s="1031"/>
      <c r="E152" s="1031"/>
      <c r="F152" s="1031"/>
      <c r="G152" s="1031"/>
      <c r="H152" s="1031"/>
      <c r="I152" s="1031"/>
      <c r="J152" s="1031"/>
      <c r="K152" s="1031"/>
      <c r="L152" s="463"/>
      <c r="M152" s="463"/>
      <c r="N152" s="463"/>
      <c r="O152" s="463"/>
      <c r="P152" s="463"/>
      <c r="Q152" s="463"/>
      <c r="R152" s="463"/>
      <c r="S152" s="463"/>
      <c r="T152" s="463"/>
      <c r="U152" s="463"/>
      <c r="V152" s="463"/>
      <c r="W152" s="463"/>
      <c r="X152" s="463"/>
      <c r="Y152" s="463"/>
      <c r="Z152" s="463"/>
      <c r="AA152" s="463"/>
      <c r="AB152" s="463"/>
      <c r="AC152" s="463"/>
      <c r="AD152" s="463"/>
      <c r="AE152" s="463"/>
      <c r="AF152" s="463"/>
      <c r="AG152" s="463"/>
      <c r="AH152" s="463"/>
      <c r="AI152" s="463"/>
      <c r="AJ152" s="463"/>
      <c r="AK152" s="463"/>
      <c r="AL152" s="463"/>
      <c r="AM152" s="463"/>
      <c r="AN152" s="463"/>
      <c r="AO152" s="463"/>
      <c r="AP152" s="463"/>
      <c r="AQ152" s="463"/>
      <c r="AR152" s="463"/>
    </row>
  </sheetData>
  <sheetProtection password="FA80" sheet="1" objects="1" scenarios="1"/>
  <mergeCells count="106">
    <mergeCell ref="E77:H77"/>
    <mergeCell ref="E83:F83"/>
    <mergeCell ref="E78:H78"/>
    <mergeCell ref="E10:J10"/>
    <mergeCell ref="E11:J11"/>
    <mergeCell ref="E12:J12"/>
    <mergeCell ref="E13:J13"/>
    <mergeCell ref="E74:H74"/>
    <mergeCell ref="I59:J59"/>
    <mergeCell ref="I60:S60"/>
    <mergeCell ref="N148:O148"/>
    <mergeCell ref="L76:M76"/>
    <mergeCell ref="C81:H81"/>
    <mergeCell ref="B106:D106"/>
    <mergeCell ref="B103:I103"/>
    <mergeCell ref="B105:G105"/>
    <mergeCell ref="C101:D101"/>
    <mergeCell ref="C100:D100"/>
    <mergeCell ref="E79:F79"/>
    <mergeCell ref="N100:Q100"/>
    <mergeCell ref="N102:Q102"/>
    <mergeCell ref="K79:M79"/>
    <mergeCell ref="I65:J65"/>
    <mergeCell ref="K78:L78"/>
    <mergeCell ref="N78:O78"/>
    <mergeCell ref="K70:S72"/>
    <mergeCell ref="K85:L85"/>
    <mergeCell ref="N85:Q85"/>
    <mergeCell ref="L75:M75"/>
    <mergeCell ref="K74:O74"/>
    <mergeCell ref="R59:S59"/>
    <mergeCell ref="R61:S63"/>
    <mergeCell ref="L61:M63"/>
    <mergeCell ref="M149:V149"/>
    <mergeCell ref="N103:Q103"/>
    <mergeCell ref="R100:V100"/>
    <mergeCell ref="R101:V101"/>
    <mergeCell ref="R102:V102"/>
    <mergeCell ref="R103:V103"/>
    <mergeCell ref="N101:Q101"/>
    <mergeCell ref="M147:N147"/>
    <mergeCell ref="M146:O146"/>
    <mergeCell ref="L108:V128"/>
    <mergeCell ref="B2:C2"/>
    <mergeCell ref="E25:I25"/>
    <mergeCell ref="K28:P28"/>
    <mergeCell ref="L31:L32"/>
    <mergeCell ref="B27:H28"/>
    <mergeCell ref="K5:U5"/>
    <mergeCell ref="K6:M6"/>
    <mergeCell ref="B4:D4"/>
    <mergeCell ref="F20:J20"/>
    <mergeCell ref="B22:D22"/>
    <mergeCell ref="E22:L22"/>
    <mergeCell ref="E4:J4"/>
    <mergeCell ref="K13:N13"/>
    <mergeCell ref="N6:P6"/>
    <mergeCell ref="K7:N7"/>
    <mergeCell ref="B11:C11"/>
    <mergeCell ref="E8:I8"/>
    <mergeCell ref="Q29:S29"/>
    <mergeCell ref="B12:C12"/>
    <mergeCell ref="B29:C29"/>
    <mergeCell ref="I29:J31"/>
    <mergeCell ref="K30:M30"/>
    <mergeCell ref="K29:P29"/>
    <mergeCell ref="K31:K32"/>
    <mergeCell ref="B31:C31"/>
    <mergeCell ref="K27:P27"/>
    <mergeCell ref="N30:P30"/>
    <mergeCell ref="K8:N8"/>
    <mergeCell ref="Q27:S27"/>
    <mergeCell ref="Q28:S28"/>
    <mergeCell ref="O31:O32"/>
    <mergeCell ref="P31:P32"/>
    <mergeCell ref="S31:S32"/>
    <mergeCell ref="Q31:Q32"/>
    <mergeCell ref="R31:R32"/>
    <mergeCell ref="Q30:S30"/>
    <mergeCell ref="K12:N12"/>
    <mergeCell ref="U1:V1"/>
    <mergeCell ref="S2:V2"/>
    <mergeCell ref="T7:U7"/>
    <mergeCell ref="K4:V4"/>
    <mergeCell ref="I1:N1"/>
    <mergeCell ref="Q6:R6"/>
    <mergeCell ref="E5:I5"/>
    <mergeCell ref="E6:I6"/>
    <mergeCell ref="E7:I7"/>
    <mergeCell ref="O59:P59"/>
    <mergeCell ref="M31:M32"/>
    <mergeCell ref="I66:J66"/>
    <mergeCell ref="I61:J61"/>
    <mergeCell ref="I63:J63"/>
    <mergeCell ref="I64:J64"/>
    <mergeCell ref="O61:P63"/>
    <mergeCell ref="N31:N32"/>
    <mergeCell ref="K10:N10"/>
    <mergeCell ref="K9:N9"/>
    <mergeCell ref="E9:I9"/>
    <mergeCell ref="I67:J67"/>
    <mergeCell ref="L59:M59"/>
    <mergeCell ref="K11:N11"/>
    <mergeCell ref="E24:I24"/>
    <mergeCell ref="I23:L23"/>
    <mergeCell ref="E23:H23"/>
  </mergeCells>
  <conditionalFormatting sqref="D83">
    <cfRule type="cellIs" priority="1" dxfId="3" operator="notBetween" stopIfTrue="1">
      <formula>75.5</formula>
      <formula>76.5</formula>
    </cfRule>
  </conditionalFormatting>
  <hyperlinks>
    <hyperlink ref="S2" r:id="rId1" display="www.petespintpot.co.uk"/>
    <hyperlink ref="E22" location="'Extract Calc. 1.8 (2)'!A159" display="  To amend/modify any data, please refer to the &quot;Technical Section&quot;."/>
    <hyperlink ref="E22:L22" location="'Extract Calc'!B111" display=" To amend/modify any data, please refer to the &quot;Technical Section&quot;."/>
    <hyperlink ref="R101" r:id="rId2" display="www.petespintpot.co.uk"/>
    <hyperlink ref="R102" r:id="rId3" display="www.colchesterhomebrew.co.uk"/>
    <hyperlink ref="R103" r:id="rId4" display="mailto:david.barrow@live.co.uk"/>
    <hyperlink ref="C81:G81" location="Primer!D1" display="For more information about &quot;cabonation&quot; see &quot;Beer Primer&quot; page."/>
    <hyperlink ref="E83" location="'Beer Calc'!AP4" display="(76% nominally)"/>
    <hyperlink ref="I59:J59" location="'Extract Calc'!M153" display="Isomerised hop extract (ml)"/>
    <hyperlink ref="R104" r:id="rId5" display="www.yobrew.co.uk"/>
    <hyperlink ref="O31" location="'Extract Calc. (1.9)'!_Toc269412869" display="See the &quot;Extract Calc.&quot;"/>
    <hyperlink ref="G43:M43" location="'Beer Calc'!A108" display="To amend/modify any data, please refer to the &quot;Technical Section&quot;."/>
    <hyperlink ref="O31:R31" location="'Extract Calc'!B22" display="(For details, see the &quot;Extract Calc.&quot;)"/>
    <hyperlink ref="R29" r:id="rId6" display="www.petespintpot.co.uk"/>
    <hyperlink ref="L78" location="'Beer Calc'!H216" display="Isomerised hop extract  (ml)"/>
    <hyperlink ref="T5" r:id="rId7" display="www.petespintpot.co.uk"/>
    <hyperlink ref="F22" location="'Extract Calc. 1.8 (2)'!A159" display="  To amend/modify any data, please refer to the &quot;Technical Section&quot;."/>
    <hyperlink ref="F22:M22" location="'Extract Calc'!B106" display=" To amend/modify any data, please refer to the &quot;Technical Section&quot;."/>
    <hyperlink ref="S101" r:id="rId8" display="www.petespintpot.co.uk"/>
    <hyperlink ref="S102" r:id="rId9" display="www.colchesterhomebrew.co.uk"/>
    <hyperlink ref="S103" r:id="rId10" display="www.yobrew.co.uk"/>
  </hyperlinks>
  <printOptions horizontalCentered="1"/>
  <pageMargins left="0.3937007874015748" right="0.3937007874015748" top="0.27" bottom="0.5118110236220472" header="0.11811023622047245" footer="0.1968503937007874"/>
  <pageSetup fitToHeight="1" fitToWidth="1" horizontalDpi="300" verticalDpi="300" orientation="portrait" paperSize="9" scale="52" r:id="rId12"/>
  <headerFooter alignWithMargins="0">
    <oddFooter>&amp;L&amp;7PJ£ 27~8~'6&amp;C&amp;7&amp;Z&amp;F</oddFooter>
  </headerFooter>
  <drawing r:id="rId11"/>
</worksheet>
</file>

<file path=xl/worksheets/sheet4.xml><?xml version="1.0" encoding="utf-8"?>
<worksheet xmlns="http://schemas.openxmlformats.org/spreadsheetml/2006/main" xmlns:r="http://schemas.openxmlformats.org/officeDocument/2006/relationships">
  <sheetPr>
    <tabColor indexed="37"/>
    <pageSetUpPr fitToPage="1"/>
  </sheetPr>
  <dimension ref="A1:AU215"/>
  <sheetViews>
    <sheetView zoomScale="75" zoomScaleNormal="75" zoomScaleSheetLayoutView="100" zoomScalePageLayoutView="0" workbookViewId="0" topLeftCell="A1">
      <pane ySplit="14" topLeftCell="BM24" activePane="bottomLeft" state="frozen"/>
      <selection pane="topLeft" activeCell="C1" sqref="C1"/>
      <selection pane="bottomLeft" activeCell="F1" sqref="F1:I1"/>
    </sheetView>
  </sheetViews>
  <sheetFormatPr defaultColWidth="9.140625" defaultRowHeight="15"/>
  <cols>
    <col min="1" max="1" width="2.28125" style="23" customWidth="1"/>
    <col min="2" max="2" width="25.57421875" style="23" customWidth="1"/>
    <col min="3" max="3" width="7.28125" style="22" customWidth="1"/>
    <col min="4" max="4" width="7.57421875" style="23" customWidth="1"/>
    <col min="5" max="5" width="7.8515625" style="23" customWidth="1"/>
    <col min="6" max="6" width="8.140625" style="23" customWidth="1"/>
    <col min="7" max="7" width="8.421875" style="23" customWidth="1"/>
    <col min="8" max="8" width="18.00390625" style="23" customWidth="1"/>
    <col min="9" max="9" width="7.00390625" style="23" customWidth="1"/>
    <col min="10" max="14" width="7.140625" style="23" customWidth="1"/>
    <col min="15" max="15" width="7.57421875" style="23" customWidth="1"/>
    <col min="16" max="16" width="0.85546875" style="23" customWidth="1"/>
    <col min="17" max="17" width="3.7109375" style="23" customWidth="1"/>
    <col min="18" max="18" width="5.00390625" style="23" customWidth="1"/>
    <col min="19" max="20" width="7.140625" style="23" hidden="1" customWidth="1"/>
    <col min="21" max="21" width="6.00390625" style="23" hidden="1" customWidth="1"/>
    <col min="22" max="22" width="5.421875" style="23" hidden="1" customWidth="1"/>
    <col min="23" max="24" width="6.28125" style="23" hidden="1" customWidth="1"/>
    <col min="25" max="27" width="6.57421875" style="23" hidden="1" customWidth="1"/>
    <col min="28" max="28" width="4.421875" style="23" hidden="1" customWidth="1"/>
    <col min="29" max="30" width="8.421875" style="23" hidden="1" customWidth="1"/>
    <col min="31" max="31" width="8.00390625" style="23" hidden="1" customWidth="1"/>
    <col min="32" max="32" width="7.8515625" style="23" hidden="1" customWidth="1"/>
    <col min="33" max="33" width="7.140625" style="23" hidden="1" customWidth="1"/>
    <col min="34" max="34" width="5.140625" style="23" hidden="1" customWidth="1"/>
    <col min="35" max="35" width="1.7109375" style="23" customWidth="1"/>
    <col min="36" max="36" width="35.00390625" style="23" customWidth="1"/>
    <col min="37" max="37" width="11.8515625" style="23" customWidth="1"/>
    <col min="38" max="38" width="9.140625" style="23" customWidth="1"/>
    <col min="39" max="39" width="10.57421875" style="23" customWidth="1"/>
    <col min="40" max="16384" width="9.140625" style="23" customWidth="1"/>
  </cols>
  <sheetData>
    <row r="1" spans="1:47" ht="24" customHeight="1">
      <c r="A1" s="4"/>
      <c r="B1" s="1921" t="s">
        <v>513</v>
      </c>
      <c r="C1" s="164"/>
      <c r="D1" s="165"/>
      <c r="E1" s="2153"/>
      <c r="F1" s="2750" t="s">
        <v>649</v>
      </c>
      <c r="G1" s="2750"/>
      <c r="H1" s="2750"/>
      <c r="I1" s="2750"/>
      <c r="J1" s="166"/>
      <c r="K1" s="166"/>
      <c r="L1" s="166"/>
      <c r="M1" s="166"/>
      <c r="N1" s="424"/>
      <c r="O1" s="424"/>
      <c r="P1" s="424"/>
      <c r="Q1" s="2745" t="s">
        <v>731</v>
      </c>
      <c r="R1" s="2745"/>
      <c r="S1" s="1688" t="s">
        <v>490</v>
      </c>
      <c r="T1" s="1688" t="s">
        <v>490</v>
      </c>
      <c r="U1" s="1688" t="s">
        <v>490</v>
      </c>
      <c r="V1" s="1688" t="s">
        <v>490</v>
      </c>
      <c r="W1" s="1688" t="s">
        <v>490</v>
      </c>
      <c r="X1" s="1688" t="s">
        <v>490</v>
      </c>
      <c r="Y1" s="1688" t="s">
        <v>490</v>
      </c>
      <c r="Z1" s="1688" t="s">
        <v>490</v>
      </c>
      <c r="AA1" s="1688" t="s">
        <v>490</v>
      </c>
      <c r="AB1" s="1688"/>
      <c r="AC1" s="1688" t="s">
        <v>490</v>
      </c>
      <c r="AD1" s="1688" t="s">
        <v>490</v>
      </c>
      <c r="AE1" s="1688" t="s">
        <v>490</v>
      </c>
      <c r="AF1" s="1688" t="s">
        <v>490</v>
      </c>
      <c r="AG1" s="1688" t="s">
        <v>490</v>
      </c>
      <c r="AH1" s="1688" t="s">
        <v>490</v>
      </c>
      <c r="AI1" s="4"/>
      <c r="AJ1" s="1764"/>
      <c r="AK1" s="1765"/>
      <c r="AL1" s="1765"/>
      <c r="AM1" s="2739" t="s">
        <v>1009</v>
      </c>
      <c r="AN1" s="2739"/>
      <c r="AO1" s="2739"/>
      <c r="AP1" s="1766"/>
      <c r="AQ1" s="1767"/>
      <c r="AR1" s="242"/>
      <c r="AS1" s="2795" t="s">
        <v>319</v>
      </c>
      <c r="AT1" s="2795"/>
      <c r="AU1" s="2795"/>
    </row>
    <row r="2" spans="1:47" ht="14.25" customHeight="1">
      <c r="A2" s="4"/>
      <c r="B2" s="1921"/>
      <c r="C2" s="1918"/>
      <c r="D2" s="1781"/>
      <c r="E2" s="1787"/>
      <c r="F2" s="1787"/>
      <c r="G2" s="1787"/>
      <c r="H2" s="151"/>
      <c r="I2" s="1781"/>
      <c r="J2" s="1788"/>
      <c r="K2" s="324"/>
      <c r="L2" s="384"/>
      <c r="M2" s="1919"/>
      <c r="N2" s="2552" t="s">
        <v>319</v>
      </c>
      <c r="O2" s="2552"/>
      <c r="P2" s="2552"/>
      <c r="Q2" s="2552"/>
      <c r="R2" s="2552"/>
      <c r="S2" s="608"/>
      <c r="T2" s="608"/>
      <c r="U2" s="608"/>
      <c r="V2" s="1199"/>
      <c r="W2" s="1199"/>
      <c r="X2" s="1199"/>
      <c r="Y2" s="1199"/>
      <c r="Z2" s="1199"/>
      <c r="AA2" s="1199"/>
      <c r="AB2" s="1200"/>
      <c r="AC2" s="420"/>
      <c r="AD2" s="421"/>
      <c r="AE2" s="422"/>
      <c r="AF2" s="422"/>
      <c r="AG2" s="422"/>
      <c r="AH2" s="423"/>
      <c r="AI2" s="4"/>
      <c r="AJ2" s="984" t="s">
        <v>1010</v>
      </c>
      <c r="AK2" s="985" t="s">
        <v>1011</v>
      </c>
      <c r="AL2" s="986" t="s">
        <v>1012</v>
      </c>
      <c r="AM2" s="987" t="s">
        <v>1013</v>
      </c>
      <c r="AN2" s="2740" t="s">
        <v>1014</v>
      </c>
      <c r="AO2" s="2740"/>
      <c r="AP2" s="2740"/>
      <c r="AQ2" s="988" t="s">
        <v>1015</v>
      </c>
      <c r="AR2" s="2765" t="s">
        <v>1016</v>
      </c>
      <c r="AS2" s="2766"/>
      <c r="AT2" s="2759" t="s">
        <v>1016</v>
      </c>
      <c r="AU2" s="2760"/>
    </row>
    <row r="3" spans="1:47" ht="14.25" customHeight="1">
      <c r="A3" s="4"/>
      <c r="B3" s="2767" t="s">
        <v>256</v>
      </c>
      <c r="C3" s="2767"/>
      <c r="D3" s="2767"/>
      <c r="E3" s="2767"/>
      <c r="F3" s="2767"/>
      <c r="G3" s="2767"/>
      <c r="H3" s="2767"/>
      <c r="I3" s="2767"/>
      <c r="J3" s="2767"/>
      <c r="K3" s="2767"/>
      <c r="L3" s="2767"/>
      <c r="M3" s="2767"/>
      <c r="N3" s="2767"/>
      <c r="O3" s="1775"/>
      <c r="P3" s="1775"/>
      <c r="Q3" s="1417" t="s">
        <v>105</v>
      </c>
      <c r="R3" s="1417" t="s">
        <v>290</v>
      </c>
      <c r="S3" s="608"/>
      <c r="T3" s="608"/>
      <c r="U3" s="608"/>
      <c r="V3" s="1199"/>
      <c r="W3" s="1199"/>
      <c r="X3" s="1199"/>
      <c r="Y3" s="1199"/>
      <c r="Z3" s="1199"/>
      <c r="AA3" s="1199"/>
      <c r="AB3" s="1200"/>
      <c r="AC3" s="420"/>
      <c r="AD3" s="421"/>
      <c r="AE3" s="422"/>
      <c r="AF3" s="422"/>
      <c r="AG3" s="422"/>
      <c r="AH3" s="423"/>
      <c r="AI3" s="4"/>
      <c r="AJ3" s="989"/>
      <c r="AK3" s="990"/>
      <c r="AL3" s="991" t="s">
        <v>1017</v>
      </c>
      <c r="AM3" s="992"/>
      <c r="AN3" s="2746" t="s">
        <v>291</v>
      </c>
      <c r="AO3" s="2746"/>
      <c r="AP3" s="2746"/>
      <c r="AQ3" s="993" t="s">
        <v>935</v>
      </c>
      <c r="AR3" s="2761" t="s">
        <v>1018</v>
      </c>
      <c r="AS3" s="2762"/>
      <c r="AT3" s="2763" t="s">
        <v>1019</v>
      </c>
      <c r="AU3" s="2764"/>
    </row>
    <row r="4" spans="1:47" ht="14.25" customHeight="1">
      <c r="A4" s="4"/>
      <c r="B4" s="2729" t="s">
        <v>461</v>
      </c>
      <c r="C4" s="2729"/>
      <c r="D4" s="2729"/>
      <c r="E4" s="2729"/>
      <c r="F4" s="2729"/>
      <c r="G4" s="2729"/>
      <c r="H4" s="2729"/>
      <c r="I4" s="2729"/>
      <c r="J4" s="2729"/>
      <c r="K4" s="2728" t="s">
        <v>460</v>
      </c>
      <c r="L4" s="2728"/>
      <c r="M4" s="2728"/>
      <c r="N4" s="2728"/>
      <c r="O4" s="1775"/>
      <c r="P4" s="1775"/>
      <c r="Q4" s="1822">
        <v>0.1</v>
      </c>
      <c r="R4" s="1419">
        <f>Q4*28.3495</f>
        <v>2.83495</v>
      </c>
      <c r="S4" s="608"/>
      <c r="T4" s="608"/>
      <c r="U4" s="608"/>
      <c r="V4" s="1199"/>
      <c r="W4" s="1199"/>
      <c r="X4" s="1199"/>
      <c r="Y4" s="1199"/>
      <c r="Z4" s="1199"/>
      <c r="AA4" s="1199"/>
      <c r="AB4" s="1200"/>
      <c r="AC4" s="420"/>
      <c r="AD4" s="421"/>
      <c r="AE4" s="422"/>
      <c r="AF4" s="422"/>
      <c r="AG4" s="422"/>
      <c r="AH4" s="423"/>
      <c r="AI4" s="4"/>
      <c r="AJ4" s="994"/>
      <c r="AK4" s="995"/>
      <c r="AL4" s="994"/>
      <c r="AM4" s="996"/>
      <c r="AN4" s="997" t="s">
        <v>352</v>
      </c>
      <c r="AO4" s="998" t="s">
        <v>1020</v>
      </c>
      <c r="AP4" s="999" t="s">
        <v>351</v>
      </c>
      <c r="AQ4" s="1000" t="s">
        <v>291</v>
      </c>
      <c r="AR4" s="2797" t="s">
        <v>1021</v>
      </c>
      <c r="AS4" s="2798"/>
      <c r="AT4" s="2751" t="s">
        <v>1021</v>
      </c>
      <c r="AU4" s="2752"/>
    </row>
    <row r="5" spans="1:47" ht="14.25" customHeight="1">
      <c r="A5" s="4"/>
      <c r="B5" s="1921"/>
      <c r="C5" s="1918"/>
      <c r="D5" s="1781"/>
      <c r="E5" s="1787"/>
      <c r="F5" s="1787"/>
      <c r="G5" s="1787"/>
      <c r="H5" s="151"/>
      <c r="I5" s="1781"/>
      <c r="J5" s="1788"/>
      <c r="K5" s="324"/>
      <c r="L5" s="384"/>
      <c r="M5" s="324"/>
      <c r="N5" s="1775"/>
      <c r="O5" s="1775"/>
      <c r="P5" s="1775"/>
      <c r="Q5" s="1822">
        <f>Q4+0.1</f>
        <v>0.2</v>
      </c>
      <c r="R5" s="1419">
        <f aca="true" t="shared" si="0" ref="R5:R12">Q5*28.3495</f>
        <v>5.6699</v>
      </c>
      <c r="S5" s="608"/>
      <c r="T5" s="608"/>
      <c r="U5" s="608"/>
      <c r="V5" s="1199"/>
      <c r="W5" s="1199"/>
      <c r="X5" s="1199"/>
      <c r="Y5" s="1199"/>
      <c r="Z5" s="1199"/>
      <c r="AA5" s="1199"/>
      <c r="AB5" s="1200"/>
      <c r="AC5" s="420"/>
      <c r="AD5" s="421"/>
      <c r="AE5" s="422"/>
      <c r="AF5" s="422"/>
      <c r="AG5" s="422"/>
      <c r="AH5" s="423"/>
      <c r="AI5" s="4"/>
      <c r="AJ5" s="1001" t="s">
        <v>1022</v>
      </c>
      <c r="AK5" s="1002" t="s">
        <v>1023</v>
      </c>
      <c r="AL5" s="1003" t="s">
        <v>1024</v>
      </c>
      <c r="AM5" s="1002" t="s">
        <v>1025</v>
      </c>
      <c r="AN5" s="1004">
        <v>75</v>
      </c>
      <c r="AO5" s="1004">
        <v>80</v>
      </c>
      <c r="AP5" s="1005">
        <f>(AN5+AO5)/2</f>
        <v>77.5</v>
      </c>
      <c r="AQ5" s="1006" t="s">
        <v>1026</v>
      </c>
      <c r="AR5" s="1007">
        <f aca="true" t="shared" si="1" ref="AR5:AR15">((AT5+40)*5/9)-40</f>
        <v>18.333333333333336</v>
      </c>
      <c r="AS5" s="1007">
        <f aca="true" t="shared" si="2" ref="AS5:AS15">((AU5+40)*5/9)-40</f>
        <v>21.111111111111114</v>
      </c>
      <c r="AT5" s="1008">
        <v>65</v>
      </c>
      <c r="AU5" s="1008">
        <v>70</v>
      </c>
    </row>
    <row r="6" spans="1:47" ht="14.25" customHeight="1">
      <c r="A6" s="4"/>
      <c r="B6" s="2640" t="s">
        <v>1525</v>
      </c>
      <c r="C6" s="2640"/>
      <c r="D6" s="2730" t="s">
        <v>31</v>
      </c>
      <c r="E6" s="2730"/>
      <c r="F6" s="2730"/>
      <c r="G6" s="2730"/>
      <c r="H6" s="2608" t="s">
        <v>1609</v>
      </c>
      <c r="I6" s="2608"/>
      <c r="J6" s="2608"/>
      <c r="K6" s="2608"/>
      <c r="L6" s="2608"/>
      <c r="M6" s="2608"/>
      <c r="N6" s="2608"/>
      <c r="O6" s="2608"/>
      <c r="P6" s="324"/>
      <c r="Q6" s="1822">
        <f aca="true" t="shared" si="3" ref="Q6:Q12">Q5+0.1</f>
        <v>0.30000000000000004</v>
      </c>
      <c r="R6" s="1419">
        <f t="shared" si="0"/>
        <v>8.504850000000001</v>
      </c>
      <c r="S6" s="608"/>
      <c r="T6" s="608"/>
      <c r="U6" s="4"/>
      <c r="V6" s="1199"/>
      <c r="W6" s="1199"/>
      <c r="X6" s="1199"/>
      <c r="Y6" s="1199"/>
      <c r="Z6" s="1199"/>
      <c r="AA6" s="1199"/>
      <c r="AB6" s="1200"/>
      <c r="AC6" s="420"/>
      <c r="AD6" s="421"/>
      <c r="AE6" s="422"/>
      <c r="AF6" s="422"/>
      <c r="AG6" s="422"/>
      <c r="AH6" s="423"/>
      <c r="AI6" s="4"/>
      <c r="AJ6" s="1009" t="s">
        <v>1027</v>
      </c>
      <c r="AK6" s="1009" t="s">
        <v>1023</v>
      </c>
      <c r="AL6" s="1010" t="s">
        <v>1024</v>
      </c>
      <c r="AM6" s="1009" t="s">
        <v>1028</v>
      </c>
      <c r="AN6" s="1011">
        <v>75</v>
      </c>
      <c r="AO6" s="1011">
        <v>80</v>
      </c>
      <c r="AP6" s="1012">
        <f>(AN6+AO6)/2</f>
        <v>77.5</v>
      </c>
      <c r="AQ6" s="1006" t="s">
        <v>1029</v>
      </c>
      <c r="AR6" s="1013">
        <f t="shared" si="1"/>
        <v>18.888888888888886</v>
      </c>
      <c r="AS6" s="1013">
        <f t="shared" si="2"/>
        <v>22.22222222222222</v>
      </c>
      <c r="AT6" s="1014">
        <v>66</v>
      </c>
      <c r="AU6" s="1014">
        <v>72</v>
      </c>
    </row>
    <row r="7" spans="1:47" ht="14.25" customHeight="1">
      <c r="A7" s="4"/>
      <c r="B7" s="1782" t="s">
        <v>128</v>
      </c>
      <c r="C7" s="589">
        <f>1000+AG64</f>
        <v>1028.0507842391305</v>
      </c>
      <c r="D7" s="2611" t="s">
        <v>129</v>
      </c>
      <c r="E7" s="2612"/>
      <c r="F7" s="2612"/>
      <c r="G7" s="620">
        <f>1000+AG63</f>
        <v>1029.2320342391304</v>
      </c>
      <c r="H7" s="1922"/>
      <c r="I7" s="2735" t="s">
        <v>690</v>
      </c>
      <c r="J7" s="2735"/>
      <c r="K7" s="2735"/>
      <c r="L7" s="2732" t="s">
        <v>36</v>
      </c>
      <c r="M7" s="2732"/>
      <c r="N7" s="2757" t="s">
        <v>37</v>
      </c>
      <c r="O7" s="2758"/>
      <c r="P7" s="324"/>
      <c r="Q7" s="1822">
        <f t="shared" si="3"/>
        <v>0.4</v>
      </c>
      <c r="R7" s="1419">
        <f t="shared" si="0"/>
        <v>11.3398</v>
      </c>
      <c r="S7" s="608"/>
      <c r="T7" s="608"/>
      <c r="U7" s="4"/>
      <c r="V7" s="1199"/>
      <c r="W7" s="1199"/>
      <c r="X7" s="1199"/>
      <c r="Y7" s="1199"/>
      <c r="Z7" s="1199"/>
      <c r="AA7" s="1199"/>
      <c r="AB7" s="1200"/>
      <c r="AC7" s="420"/>
      <c r="AD7" s="421"/>
      <c r="AE7" s="422"/>
      <c r="AF7" s="422"/>
      <c r="AG7" s="422"/>
      <c r="AH7" s="423"/>
      <c r="AI7" s="4"/>
      <c r="AJ7" s="1015" t="s">
        <v>1030</v>
      </c>
      <c r="AK7" s="1016" t="s">
        <v>1031</v>
      </c>
      <c r="AL7" s="1010" t="s">
        <v>1024</v>
      </c>
      <c r="AM7" s="1009" t="s">
        <v>1025</v>
      </c>
      <c r="AN7" s="1011">
        <v>74</v>
      </c>
      <c r="AO7" s="1011">
        <v>82</v>
      </c>
      <c r="AP7" s="1012">
        <f>(AN7+AO7)/2</f>
        <v>78</v>
      </c>
      <c r="AQ7" s="1006" t="s">
        <v>1029</v>
      </c>
      <c r="AR7" s="1013">
        <f t="shared" si="1"/>
        <v>18.888888888888886</v>
      </c>
      <c r="AS7" s="1017">
        <f t="shared" si="2"/>
        <v>22.22222222222222</v>
      </c>
      <c r="AT7" s="1018">
        <v>66</v>
      </c>
      <c r="AU7" s="1019">
        <v>72</v>
      </c>
    </row>
    <row r="8" spans="1:47" ht="14.25" customHeight="1">
      <c r="A8" s="4"/>
      <c r="B8" s="1776" t="s">
        <v>130</v>
      </c>
      <c r="C8" s="590">
        <f>1000+AG65</f>
        <v>1005.6970002647275</v>
      </c>
      <c r="D8" s="2574" t="s">
        <v>131</v>
      </c>
      <c r="E8" s="2575"/>
      <c r="F8" s="2575"/>
      <c r="G8" s="621">
        <f>1000+AG66</f>
        <v>1005.6025745042311</v>
      </c>
      <c r="H8" s="2651" t="s">
        <v>92</v>
      </c>
      <c r="I8" s="2652"/>
      <c r="J8" s="595">
        <v>500</v>
      </c>
      <c r="K8" s="596" t="s">
        <v>93</v>
      </c>
      <c r="L8" s="1794">
        <v>1</v>
      </c>
      <c r="M8" s="597" t="s">
        <v>94</v>
      </c>
      <c r="N8" s="1795">
        <v>12</v>
      </c>
      <c r="O8" s="612" t="s">
        <v>95</v>
      </c>
      <c r="P8" s="324"/>
      <c r="Q8" s="1822">
        <f t="shared" si="3"/>
        <v>0.5</v>
      </c>
      <c r="R8" s="1419">
        <f t="shared" si="0"/>
        <v>14.17475</v>
      </c>
      <c r="S8" s="1511"/>
      <c r="T8" s="1516">
        <f>0.01*S9*(G7-G8)/(7.75-(3*(G7-1000)/800))</f>
        <v>0.1711409664907343</v>
      </c>
      <c r="U8" s="1517" t="s">
        <v>103</v>
      </c>
      <c r="V8" s="1475"/>
      <c r="W8" s="1199"/>
      <c r="X8" s="1199"/>
      <c r="Y8" s="1199"/>
      <c r="Z8" s="1199"/>
      <c r="AA8" s="1199"/>
      <c r="AB8" s="1200"/>
      <c r="AC8" s="420"/>
      <c r="AD8" s="421"/>
      <c r="AE8" s="422"/>
      <c r="AF8" s="422"/>
      <c r="AG8" s="422"/>
      <c r="AH8" s="423"/>
      <c r="AI8" s="4"/>
      <c r="AJ8" s="1009" t="s">
        <v>1032</v>
      </c>
      <c r="AK8" s="1009" t="s">
        <v>1033</v>
      </c>
      <c r="AL8" s="1010" t="s">
        <v>1024</v>
      </c>
      <c r="AM8" s="1009" t="s">
        <v>1025</v>
      </c>
      <c r="AN8" s="1020"/>
      <c r="AO8" s="1020"/>
      <c r="AP8" s="1021" t="s">
        <v>1020</v>
      </c>
      <c r="AQ8" s="1022" t="s">
        <v>1034</v>
      </c>
      <c r="AR8" s="1013">
        <f t="shared" si="1"/>
        <v>15</v>
      </c>
      <c r="AS8" s="1013">
        <f t="shared" si="2"/>
        <v>20</v>
      </c>
      <c r="AT8" s="1014">
        <v>59</v>
      </c>
      <c r="AU8" s="1014">
        <v>68</v>
      </c>
    </row>
    <row r="9" spans="1:47" ht="14.25" customHeight="1">
      <c r="A9" s="4"/>
      <c r="B9" s="1776" t="s">
        <v>132</v>
      </c>
      <c r="C9" s="963">
        <f>(C7-C8)/(7.75-(3*(C7-1000)/800))</f>
        <v>2.924047198505371</v>
      </c>
      <c r="D9" s="2613" t="s">
        <v>133</v>
      </c>
      <c r="E9" s="2587"/>
      <c r="F9" s="2587"/>
      <c r="G9" s="622">
        <f>(G7-G8)/(7.75-(3*(G7-1000)/800))</f>
        <v>3.0927074480579213</v>
      </c>
      <c r="H9" s="2614" t="s">
        <v>96</v>
      </c>
      <c r="I9" s="2615"/>
      <c r="J9" s="1800">
        <f>J8*T8</f>
        <v>85.57048324536714</v>
      </c>
      <c r="K9" s="1801"/>
      <c r="L9" s="1802">
        <f>568*L8*T8</f>
        <v>97.20806896673707</v>
      </c>
      <c r="M9" s="1801"/>
      <c r="N9" s="1803">
        <f>29.57*N8*T8</f>
        <v>60.727660549572164</v>
      </c>
      <c r="O9" s="613"/>
      <c r="P9" s="324"/>
      <c r="Q9" s="1822">
        <f t="shared" si="3"/>
        <v>0.6</v>
      </c>
      <c r="R9" s="1419">
        <f t="shared" si="0"/>
        <v>17.0097</v>
      </c>
      <c r="S9" s="1478">
        <f>7.01*0.7894</f>
        <v>5.533694</v>
      </c>
      <c r="T9" s="605">
        <f>0.00000001*G8*((1000*G7)/S9+(819.2*G8)-1000400)</f>
        <v>0.09435865762767653</v>
      </c>
      <c r="U9" s="1477" t="s">
        <v>103</v>
      </c>
      <c r="V9" s="1476"/>
      <c r="W9" s="1199"/>
      <c r="X9" s="1199"/>
      <c r="Y9" s="1199"/>
      <c r="Z9" s="1199"/>
      <c r="AA9" s="1199"/>
      <c r="AB9" s="1200"/>
      <c r="AC9" s="420"/>
      <c r="AD9" s="421"/>
      <c r="AE9" s="422"/>
      <c r="AF9" s="422"/>
      <c r="AG9" s="422"/>
      <c r="AH9" s="423"/>
      <c r="AI9" s="4"/>
      <c r="AJ9" s="1009" t="s">
        <v>1035</v>
      </c>
      <c r="AK9" s="1009" t="s">
        <v>1023</v>
      </c>
      <c r="AL9" s="1010" t="s">
        <v>1024</v>
      </c>
      <c r="AM9" s="1009" t="s">
        <v>1036</v>
      </c>
      <c r="AN9" s="1011">
        <v>70</v>
      </c>
      <c r="AO9" s="1011">
        <v>75</v>
      </c>
      <c r="AP9" s="1012">
        <f>(AN9+AO9)/2</f>
        <v>72.5</v>
      </c>
      <c r="AQ9" s="1006" t="s">
        <v>1026</v>
      </c>
      <c r="AR9" s="1013">
        <f t="shared" si="1"/>
        <v>18.333333333333336</v>
      </c>
      <c r="AS9" s="1013">
        <f t="shared" si="2"/>
        <v>20.555555555555557</v>
      </c>
      <c r="AT9" s="1014">
        <v>65</v>
      </c>
      <c r="AU9" s="1014">
        <v>69</v>
      </c>
    </row>
    <row r="10" spans="1:47" ht="14.25" customHeight="1">
      <c r="A10" s="4"/>
      <c r="B10" s="1796" t="s">
        <v>134</v>
      </c>
      <c r="C10" s="1798">
        <f>VLOOKUP($C$25,$S$63:$T$93,2)</f>
        <v>0.878</v>
      </c>
      <c r="D10" s="2655" t="s">
        <v>135</v>
      </c>
      <c r="E10" s="2656"/>
      <c r="F10" s="2656"/>
      <c r="G10" s="1923">
        <f>C59</f>
        <v>1.7032631578947366</v>
      </c>
      <c r="H10" s="2574" t="s">
        <v>97</v>
      </c>
      <c r="I10" s="2575"/>
      <c r="J10" s="1800">
        <f>J8*T9</f>
        <v>47.17932881383827</v>
      </c>
      <c r="K10" s="1801"/>
      <c r="L10" s="1802">
        <f>568*T9*L8</f>
        <v>53.59571753252027</v>
      </c>
      <c r="M10" s="1801"/>
      <c r="N10" s="1803">
        <f>29.57*T9*N8</f>
        <v>33.48222607260474</v>
      </c>
      <c r="O10" s="614"/>
      <c r="P10" s="324"/>
      <c r="Q10" s="1822">
        <f t="shared" si="3"/>
        <v>0.7</v>
      </c>
      <c r="R10" s="1419">
        <f t="shared" si="0"/>
        <v>19.844649999999998</v>
      </c>
      <c r="S10" s="1479"/>
      <c r="T10" s="1480">
        <f>SUM(T8:T9)</f>
        <v>0.2654996241184108</v>
      </c>
      <c r="U10" s="1481" t="s">
        <v>103</v>
      </c>
      <c r="V10" s="1482"/>
      <c r="W10" s="1199"/>
      <c r="X10" s="1199"/>
      <c r="Y10" s="1199"/>
      <c r="Z10" s="1199"/>
      <c r="AA10" s="1199"/>
      <c r="AB10" s="1200"/>
      <c r="AC10" s="420"/>
      <c r="AD10" s="421"/>
      <c r="AE10" s="422"/>
      <c r="AF10" s="422"/>
      <c r="AG10" s="422"/>
      <c r="AH10" s="423"/>
      <c r="AI10" s="4"/>
      <c r="AJ10" s="1023" t="s">
        <v>1037</v>
      </c>
      <c r="AK10" s="1016" t="s">
        <v>1031</v>
      </c>
      <c r="AL10" s="1010" t="s">
        <v>1024</v>
      </c>
      <c r="AM10" s="1009" t="s">
        <v>1028</v>
      </c>
      <c r="AN10" s="1024">
        <v>70</v>
      </c>
      <c r="AO10" s="1011">
        <v>74</v>
      </c>
      <c r="AP10" s="1012">
        <f>(AN10+AO10)/2</f>
        <v>72</v>
      </c>
      <c r="AQ10" s="1006" t="s">
        <v>1038</v>
      </c>
      <c r="AR10" s="1013">
        <f t="shared" si="1"/>
        <v>18.888888888888886</v>
      </c>
      <c r="AS10" s="1017">
        <f t="shared" si="2"/>
        <v>21.111111111111114</v>
      </c>
      <c r="AT10" s="1018">
        <v>66</v>
      </c>
      <c r="AU10" s="1019">
        <v>70</v>
      </c>
    </row>
    <row r="11" spans="1:47" ht="14.25" customHeight="1">
      <c r="A11" s="4"/>
      <c r="B11" s="1804" t="s">
        <v>79</v>
      </c>
      <c r="C11" s="593" t="str">
        <f>FIXED((S52+S53+S55)*0.03527,2)&amp;"oz"</f>
        <v>7.00oz</v>
      </c>
      <c r="D11" s="2576" t="s">
        <v>136</v>
      </c>
      <c r="E11" s="2577"/>
      <c r="F11" s="2577"/>
      <c r="G11" s="594" t="str">
        <f>FIXED(((S52+S53+S54)*0.03527+C56*C23/(23/40.5)),2)&amp;"oz"</f>
        <v>9.55oz</v>
      </c>
      <c r="H11" s="2574" t="s">
        <v>98</v>
      </c>
      <c r="I11" s="2575"/>
      <c r="J11" s="1808">
        <f>J10/3.85</f>
        <v>12.254371120477472</v>
      </c>
      <c r="K11" s="598" t="s">
        <v>290</v>
      </c>
      <c r="L11" s="1809">
        <f>L10/3.85</f>
        <v>13.920965592862407</v>
      </c>
      <c r="M11" s="599" t="s">
        <v>290</v>
      </c>
      <c r="N11" s="1810">
        <f>N10/3.85</f>
        <v>8.696682096780451</v>
      </c>
      <c r="O11" s="615" t="s">
        <v>290</v>
      </c>
      <c r="P11" s="324"/>
      <c r="Q11" s="1822">
        <f t="shared" si="3"/>
        <v>0.7999999999999999</v>
      </c>
      <c r="R11" s="1419">
        <f t="shared" si="0"/>
        <v>22.679599999999997</v>
      </c>
      <c r="W11" s="1199"/>
      <c r="X11" s="1199"/>
      <c r="Y11" s="1199"/>
      <c r="Z11" s="1199"/>
      <c r="AA11" s="1199"/>
      <c r="AB11" s="1200"/>
      <c r="AC11" s="420"/>
      <c r="AD11" s="421"/>
      <c r="AE11" s="422"/>
      <c r="AF11" s="422"/>
      <c r="AG11" s="422"/>
      <c r="AH11" s="423"/>
      <c r="AI11" s="4"/>
      <c r="AJ11" s="1009" t="s">
        <v>1039</v>
      </c>
      <c r="AK11" s="1009" t="s">
        <v>1040</v>
      </c>
      <c r="AL11" s="1010" t="s">
        <v>1024</v>
      </c>
      <c r="AM11" s="1009" t="s">
        <v>1041</v>
      </c>
      <c r="AN11" s="1011">
        <v>73</v>
      </c>
      <c r="AO11" s="1011">
        <v>77</v>
      </c>
      <c r="AP11" s="1012">
        <f>(AN11+AO11)/2</f>
        <v>75</v>
      </c>
      <c r="AQ11" s="1022">
        <v>11</v>
      </c>
      <c r="AR11" s="1013">
        <f t="shared" si="1"/>
        <v>15.555555555555557</v>
      </c>
      <c r="AS11" s="1013">
        <f t="shared" si="2"/>
        <v>22.22222222222222</v>
      </c>
      <c r="AT11" s="1014">
        <v>60</v>
      </c>
      <c r="AU11" s="1014">
        <v>72</v>
      </c>
    </row>
    <row r="12" spans="1:47" ht="14.25" customHeight="1">
      <c r="A12" s="4"/>
      <c r="B12" s="1806" t="s">
        <v>137</v>
      </c>
      <c r="C12" s="592">
        <f>J64+K64+L64+(J57*L214*N214/(I214*C23))</f>
        <v>22.631606323037243</v>
      </c>
      <c r="D12" s="2716" t="s">
        <v>658</v>
      </c>
      <c r="E12" s="2716"/>
      <c r="F12" s="2716"/>
      <c r="G12" s="2717"/>
      <c r="H12" s="2582" t="s">
        <v>102</v>
      </c>
      <c r="I12" s="2583"/>
      <c r="J12" s="1811">
        <f>SUM(J9:J10)</f>
        <v>132.7498120592054</v>
      </c>
      <c r="K12" s="1812"/>
      <c r="L12" s="1813">
        <f>SUM(L9:L10)</f>
        <v>150.80378649925734</v>
      </c>
      <c r="M12" s="1812"/>
      <c r="N12" s="1924">
        <f>SUM(N9:N10)</f>
        <v>94.2098866221769</v>
      </c>
      <c r="O12" s="1925"/>
      <c r="P12" s="324"/>
      <c r="Q12" s="1822">
        <f t="shared" si="3"/>
        <v>0.8999999999999999</v>
      </c>
      <c r="R12" s="1419">
        <f t="shared" si="0"/>
        <v>25.514549999999996</v>
      </c>
      <c r="S12" s="608"/>
      <c r="T12" s="608"/>
      <c r="U12" s="4"/>
      <c r="V12" s="1199"/>
      <c r="W12" s="1199"/>
      <c r="X12" s="1199"/>
      <c r="Y12" s="1199"/>
      <c r="Z12" s="1199"/>
      <c r="AA12" s="1199"/>
      <c r="AB12" s="1200"/>
      <c r="AC12" s="420"/>
      <c r="AD12" s="421"/>
      <c r="AE12" s="422"/>
      <c r="AF12" s="422"/>
      <c r="AG12" s="422"/>
      <c r="AH12" s="423"/>
      <c r="AI12" s="4"/>
      <c r="AJ12" s="1009" t="s">
        <v>1042</v>
      </c>
      <c r="AK12" s="1009" t="s">
        <v>1033</v>
      </c>
      <c r="AL12" s="1010" t="s">
        <v>1024</v>
      </c>
      <c r="AM12" s="1009" t="s">
        <v>1025</v>
      </c>
      <c r="AN12" s="1011"/>
      <c r="AO12" s="1011"/>
      <c r="AP12" s="1012" t="s">
        <v>1034</v>
      </c>
      <c r="AQ12" s="1022" t="s">
        <v>1034</v>
      </c>
      <c r="AR12" s="1013">
        <f t="shared" si="1"/>
        <v>17.77777777777778</v>
      </c>
      <c r="AS12" s="1013">
        <f t="shared" si="2"/>
        <v>22.22222222222222</v>
      </c>
      <c r="AT12" s="1014">
        <v>64</v>
      </c>
      <c r="AU12" s="1014">
        <v>72</v>
      </c>
    </row>
    <row r="13" spans="1:47" ht="14.25" customHeight="1">
      <c r="A13" s="4"/>
      <c r="B13" s="1796"/>
      <c r="C13" s="1926">
        <f>M64+N64+O64+(M57*L214*N214/(I214*C23))</f>
        <v>21.010757226131446</v>
      </c>
      <c r="D13" s="2726" t="s">
        <v>659</v>
      </c>
      <c r="E13" s="2726"/>
      <c r="F13" s="2726"/>
      <c r="G13" s="2727"/>
      <c r="H13" s="2622" t="s">
        <v>734</v>
      </c>
      <c r="I13" s="2623"/>
      <c r="J13" s="600">
        <f>J14*J8/1000</f>
        <v>1.5463537240289607</v>
      </c>
      <c r="K13" s="601"/>
      <c r="L13" s="602">
        <f>L14*L8*568.26/1000</f>
        <v>1.7574619344333944</v>
      </c>
      <c r="M13" s="603"/>
      <c r="N13" s="604">
        <f>N14*N8*29.57/1000</f>
        <v>1.0974163108688726</v>
      </c>
      <c r="O13" s="1925"/>
      <c r="P13" s="324"/>
      <c r="Q13" s="1822">
        <f>Q12+0.1</f>
        <v>0.9999999999999999</v>
      </c>
      <c r="R13" s="1419">
        <f>Q13*28.3495</f>
        <v>28.349499999999995</v>
      </c>
      <c r="S13" s="608"/>
      <c r="T13" s="608"/>
      <c r="U13" s="4"/>
      <c r="V13" s="1199"/>
      <c r="W13" s="1199"/>
      <c r="X13" s="1199"/>
      <c r="Y13" s="1199"/>
      <c r="Z13" s="1199"/>
      <c r="AA13" s="1199"/>
      <c r="AB13" s="1200"/>
      <c r="AC13" s="420"/>
      <c r="AD13" s="421"/>
      <c r="AE13" s="422"/>
      <c r="AF13" s="422"/>
      <c r="AG13" s="422"/>
      <c r="AH13" s="423"/>
      <c r="AI13" s="4"/>
      <c r="AJ13" s="1009" t="s">
        <v>1043</v>
      </c>
      <c r="AK13" s="1009" t="s">
        <v>1040</v>
      </c>
      <c r="AL13" s="1010" t="s">
        <v>1024</v>
      </c>
      <c r="AM13" s="1009" t="s">
        <v>1025</v>
      </c>
      <c r="AN13" s="1011">
        <v>72</v>
      </c>
      <c r="AO13" s="1011">
        <v>76</v>
      </c>
      <c r="AP13" s="1012">
        <f>(AN13+AO13)/2</f>
        <v>74</v>
      </c>
      <c r="AQ13" s="1022">
        <v>10</v>
      </c>
      <c r="AR13" s="1013">
        <f t="shared" si="1"/>
        <v>15.555555555555557</v>
      </c>
      <c r="AS13" s="1013">
        <f t="shared" si="2"/>
        <v>22.22222222222222</v>
      </c>
      <c r="AT13" s="1014">
        <v>60</v>
      </c>
      <c r="AU13" s="1014">
        <v>72</v>
      </c>
    </row>
    <row r="14" spans="1:47" ht="14.25" customHeight="1">
      <c r="A14" s="4"/>
      <c r="B14" s="1580" t="s">
        <v>402</v>
      </c>
      <c r="C14" s="591">
        <f>SUM(AH37:AH55)/$C23</f>
        <v>39.81695869565217</v>
      </c>
      <c r="D14" s="2707" t="str">
        <f>"EBC = "&amp;FIXED(0.508*C14,0)&amp;" SRM"</f>
        <v>EBC = 20 SRM</v>
      </c>
      <c r="E14" s="2707"/>
      <c r="F14" s="2707"/>
      <c r="G14" s="2708"/>
      <c r="H14" s="2648" t="s">
        <v>311</v>
      </c>
      <c r="I14" s="2649"/>
      <c r="J14" s="1815">
        <f>G9</f>
        <v>3.0927074480579213</v>
      </c>
      <c r="K14" s="1816"/>
      <c r="L14" s="1817">
        <f>G9</f>
        <v>3.0927074480579213</v>
      </c>
      <c r="M14" s="1816"/>
      <c r="N14" s="1818">
        <f>G9</f>
        <v>3.0927074480579213</v>
      </c>
      <c r="O14" s="1927"/>
      <c r="P14" s="324"/>
      <c r="Q14" s="1822">
        <f>Q13+0.1</f>
        <v>1.0999999999999999</v>
      </c>
      <c r="R14" s="1419">
        <f>Q14*28.3495</f>
        <v>31.184449999999995</v>
      </c>
      <c r="S14" s="608"/>
      <c r="T14" s="608"/>
      <c r="U14" s="4"/>
      <c r="V14" s="1199"/>
      <c r="W14" s="1199"/>
      <c r="X14" s="1199"/>
      <c r="Y14" s="1199"/>
      <c r="Z14" s="1199"/>
      <c r="AA14" s="1199"/>
      <c r="AB14" s="1200"/>
      <c r="AC14" s="420"/>
      <c r="AD14" s="421"/>
      <c r="AE14" s="422"/>
      <c r="AF14" s="422"/>
      <c r="AG14" s="422"/>
      <c r="AH14" s="423"/>
      <c r="AI14" s="4"/>
      <c r="AJ14" s="1009" t="s">
        <v>1044</v>
      </c>
      <c r="AK14" s="1009" t="s">
        <v>1023</v>
      </c>
      <c r="AL14" s="1010" t="s">
        <v>1024</v>
      </c>
      <c r="AM14" s="1009" t="s">
        <v>1025</v>
      </c>
      <c r="AN14" s="1011">
        <v>72</v>
      </c>
      <c r="AO14" s="1011">
        <v>80</v>
      </c>
      <c r="AP14" s="1012">
        <f>(AN14+AO14)/2</f>
        <v>76</v>
      </c>
      <c r="AQ14" s="1006" t="s">
        <v>1038</v>
      </c>
      <c r="AR14" s="1013">
        <f t="shared" si="1"/>
        <v>20</v>
      </c>
      <c r="AS14" s="1013">
        <f t="shared" si="2"/>
        <v>22.22222222222222</v>
      </c>
      <c r="AT14" s="1014">
        <v>68</v>
      </c>
      <c r="AU14" s="1014">
        <v>72</v>
      </c>
    </row>
    <row r="15" spans="1:47" ht="14.25" customHeight="1">
      <c r="A15" s="4"/>
      <c r="B15" s="1921"/>
      <c r="C15" s="1918"/>
      <c r="D15" s="1781"/>
      <c r="E15" s="1787"/>
      <c r="F15" s="1787"/>
      <c r="G15" s="1787"/>
      <c r="H15" s="151"/>
      <c r="I15" s="1781"/>
      <c r="J15" s="1788"/>
      <c r="K15" s="324"/>
      <c r="L15" s="384"/>
      <c r="M15" s="324"/>
      <c r="N15" s="1775"/>
      <c r="O15" s="1775"/>
      <c r="P15" s="324"/>
      <c r="Q15" s="1822">
        <f aca="true" t="shared" si="4" ref="Q15:Q33">Q14+0.1</f>
        <v>1.2</v>
      </c>
      <c r="R15" s="1419">
        <f aca="true" t="shared" si="5" ref="R15:R34">Q15*28.3495</f>
        <v>34.0194</v>
      </c>
      <c r="S15" s="608"/>
      <c r="T15" s="608"/>
      <c r="U15" s="608"/>
      <c r="V15" s="1199"/>
      <c r="W15" s="1199"/>
      <c r="X15" s="1199"/>
      <c r="Y15" s="1199"/>
      <c r="Z15" s="1199"/>
      <c r="AA15" s="1199"/>
      <c r="AB15" s="1200"/>
      <c r="AC15" s="420"/>
      <c r="AD15" s="421"/>
      <c r="AE15" s="422"/>
      <c r="AF15" s="422"/>
      <c r="AG15" s="422"/>
      <c r="AH15" s="423"/>
      <c r="AI15" s="4"/>
      <c r="AJ15" s="1009" t="s">
        <v>1045</v>
      </c>
      <c r="AK15" s="1009" t="s">
        <v>1040</v>
      </c>
      <c r="AL15" s="1010" t="s">
        <v>1024</v>
      </c>
      <c r="AM15" s="1009" t="s">
        <v>1025</v>
      </c>
      <c r="AN15" s="1011">
        <v>73</v>
      </c>
      <c r="AO15" s="1011">
        <v>77</v>
      </c>
      <c r="AP15" s="1012">
        <f>(AN15+AO15)/2</f>
        <v>75</v>
      </c>
      <c r="AQ15" s="1022">
        <v>9</v>
      </c>
      <c r="AR15" s="1013">
        <f t="shared" si="1"/>
        <v>8.888888888888886</v>
      </c>
      <c r="AS15" s="1013">
        <f t="shared" si="2"/>
        <v>14.444444444444443</v>
      </c>
      <c r="AT15" s="1014">
        <v>48</v>
      </c>
      <c r="AU15" s="1014">
        <v>58</v>
      </c>
    </row>
    <row r="16" spans="1:47" ht="14.25" customHeight="1">
      <c r="A16" s="4"/>
      <c r="B16" s="1921"/>
      <c r="C16" s="1918"/>
      <c r="D16" s="1781"/>
      <c r="E16" s="1787"/>
      <c r="F16" s="1787"/>
      <c r="G16" s="1787"/>
      <c r="H16" s="151"/>
      <c r="I16" s="1781"/>
      <c r="J16" s="1788"/>
      <c r="K16" s="324"/>
      <c r="L16" s="384"/>
      <c r="M16" s="324"/>
      <c r="N16" s="1775"/>
      <c r="O16" s="1775"/>
      <c r="P16" s="324"/>
      <c r="Q16" s="1822">
        <f aca="true" t="shared" si="6" ref="Q16:Q22">Q15+0.1</f>
        <v>1.3</v>
      </c>
      <c r="R16" s="1419">
        <f t="shared" si="5"/>
        <v>36.85435</v>
      </c>
      <c r="S16" s="608"/>
      <c r="T16" s="608"/>
      <c r="U16" s="608"/>
      <c r="V16" s="1199"/>
      <c r="W16" s="1199"/>
      <c r="X16" s="1199"/>
      <c r="Y16" s="1199"/>
      <c r="Z16" s="1199"/>
      <c r="AA16" s="1199"/>
      <c r="AB16" s="1200"/>
      <c r="AC16" s="420"/>
      <c r="AD16" s="421"/>
      <c r="AE16" s="422"/>
      <c r="AF16" s="422"/>
      <c r="AG16" s="422"/>
      <c r="AH16" s="423"/>
      <c r="AI16" s="4"/>
      <c r="AJ16" s="1009" t="s">
        <v>1046</v>
      </c>
      <c r="AK16" s="1009" t="s">
        <v>1033</v>
      </c>
      <c r="AL16" s="1010" t="s">
        <v>1024</v>
      </c>
      <c r="AM16" s="1009" t="s">
        <v>1047</v>
      </c>
      <c r="AN16" s="1020"/>
      <c r="AO16" s="1020"/>
      <c r="AP16" s="1021" t="s">
        <v>914</v>
      </c>
      <c r="AQ16" s="1022" t="s">
        <v>1034</v>
      </c>
      <c r="AR16" s="1013">
        <f>((AT21+40)*5/9)-40</f>
        <v>20</v>
      </c>
      <c r="AS16" s="1013">
        <f>((AU21+40)*5/9)-40</f>
        <v>22.22222222222222</v>
      </c>
      <c r="AT16" s="1014"/>
      <c r="AU16" s="1014"/>
    </row>
    <row r="17" spans="1:47" ht="14.25" customHeight="1">
      <c r="A17" s="4"/>
      <c r="B17" s="1921"/>
      <c r="C17" s="1918"/>
      <c r="D17" s="1781"/>
      <c r="E17" s="1787"/>
      <c r="F17" s="1787"/>
      <c r="G17" s="1787"/>
      <c r="H17" s="151"/>
      <c r="I17" s="1781"/>
      <c r="J17" s="1788"/>
      <c r="K17" s="324"/>
      <c r="L17" s="384"/>
      <c r="M17" s="324"/>
      <c r="N17" s="1775"/>
      <c r="O17" s="1775"/>
      <c r="P17" s="324"/>
      <c r="Q17" s="1822">
        <f t="shared" si="6"/>
        <v>1.4000000000000001</v>
      </c>
      <c r="R17" s="1419">
        <f t="shared" si="5"/>
        <v>39.6893</v>
      </c>
      <c r="S17" s="608"/>
      <c r="T17" s="608"/>
      <c r="U17" s="608"/>
      <c r="V17" s="1199"/>
      <c r="W17" s="1199"/>
      <c r="X17" s="1199"/>
      <c r="Y17" s="1199"/>
      <c r="Z17" s="1199"/>
      <c r="AA17" s="1199"/>
      <c r="AB17" s="1200"/>
      <c r="AC17" s="420"/>
      <c r="AD17" s="421"/>
      <c r="AE17" s="422"/>
      <c r="AF17" s="422"/>
      <c r="AG17" s="422"/>
      <c r="AH17" s="423"/>
      <c r="AI17" s="4"/>
      <c r="AJ17" s="1025" t="s">
        <v>1048</v>
      </c>
      <c r="AK17" s="1009" t="s">
        <v>1023</v>
      </c>
      <c r="AL17" s="1010" t="s">
        <v>1024</v>
      </c>
      <c r="AM17" s="1009" t="s">
        <v>1025</v>
      </c>
      <c r="AN17" s="1011">
        <v>75</v>
      </c>
      <c r="AO17" s="1011">
        <v>80</v>
      </c>
      <c r="AP17" s="1012">
        <f aca="true" t="shared" si="7" ref="AP17:AP23">(AN17+AO17)/2</f>
        <v>77.5</v>
      </c>
      <c r="AQ17" s="1006" t="s">
        <v>1026</v>
      </c>
      <c r="AR17" s="1013">
        <f aca="true" t="shared" si="8" ref="AR17:AR37">((AT23+40)*5/9)-40</f>
        <v>10</v>
      </c>
      <c r="AS17" s="1013">
        <f aca="true" t="shared" si="9" ref="AS17:AS37">((AU23+40)*5/9)-40</f>
        <v>12.777777777777779</v>
      </c>
      <c r="AT17" s="1014"/>
      <c r="AU17" s="1014"/>
    </row>
    <row r="18" spans="1:47" ht="14.25" customHeight="1">
      <c r="A18" s="4"/>
      <c r="B18" s="1921"/>
      <c r="C18" s="1918"/>
      <c r="D18" s="1781"/>
      <c r="E18" s="1787"/>
      <c r="F18" s="1787"/>
      <c r="G18" s="1787"/>
      <c r="H18" s="151"/>
      <c r="I18" s="1781"/>
      <c r="J18" s="1788"/>
      <c r="K18" s="324"/>
      <c r="L18" s="384"/>
      <c r="M18" s="324"/>
      <c r="N18" s="1775"/>
      <c r="O18" s="1775"/>
      <c r="P18" s="324"/>
      <c r="Q18" s="1822">
        <f t="shared" si="6"/>
        <v>1.5000000000000002</v>
      </c>
      <c r="R18" s="1419">
        <f t="shared" si="5"/>
        <v>42.52425</v>
      </c>
      <c r="S18" s="608"/>
      <c r="T18" s="608"/>
      <c r="U18" s="608"/>
      <c r="V18" s="1199"/>
      <c r="W18" s="1199"/>
      <c r="X18" s="1199"/>
      <c r="Y18" s="1199"/>
      <c r="Z18" s="1199"/>
      <c r="AA18" s="1199"/>
      <c r="AB18" s="1200"/>
      <c r="AC18" s="420"/>
      <c r="AD18" s="421"/>
      <c r="AE18" s="422"/>
      <c r="AF18" s="422"/>
      <c r="AG18" s="422"/>
      <c r="AH18" s="423"/>
      <c r="AI18" s="4"/>
      <c r="AJ18" s="1026" t="s">
        <v>1049</v>
      </c>
      <c r="AK18" s="1009" t="s">
        <v>1040</v>
      </c>
      <c r="AL18" s="1010" t="s">
        <v>1024</v>
      </c>
      <c r="AM18" s="1009" t="s">
        <v>1036</v>
      </c>
      <c r="AN18" s="1011">
        <v>74</v>
      </c>
      <c r="AO18" s="1011">
        <v>78</v>
      </c>
      <c r="AP18" s="1012">
        <f t="shared" si="7"/>
        <v>76</v>
      </c>
      <c r="AQ18" s="1022">
        <v>10</v>
      </c>
      <c r="AR18" s="1013">
        <f t="shared" si="8"/>
        <v>14.444444444444443</v>
      </c>
      <c r="AS18" s="1013">
        <f t="shared" si="9"/>
        <v>23.333333333333336</v>
      </c>
      <c r="AT18" s="1014"/>
      <c r="AU18" s="1014"/>
    </row>
    <row r="19" spans="1:47" ht="14.25" customHeight="1">
      <c r="A19" s="4"/>
      <c r="B19" s="1921"/>
      <c r="C19" s="1918"/>
      <c r="D19" s="1781"/>
      <c r="E19" s="1787"/>
      <c r="F19" s="1787"/>
      <c r="G19" s="1787"/>
      <c r="H19" s="151"/>
      <c r="I19" s="1781"/>
      <c r="J19" s="1788"/>
      <c r="K19" s="324"/>
      <c r="L19" s="384"/>
      <c r="M19" s="324"/>
      <c r="N19" s="1775"/>
      <c r="O19" s="1775"/>
      <c r="P19" s="324"/>
      <c r="Q19" s="1822">
        <f t="shared" si="6"/>
        <v>1.6000000000000003</v>
      </c>
      <c r="R19" s="1419">
        <f t="shared" si="5"/>
        <v>45.35920000000001</v>
      </c>
      <c r="S19" s="608"/>
      <c r="T19" s="608"/>
      <c r="U19" s="608"/>
      <c r="V19" s="1199"/>
      <c r="W19" s="1199"/>
      <c r="X19" s="1199"/>
      <c r="Y19" s="1199"/>
      <c r="Z19" s="1199"/>
      <c r="AA19" s="1199"/>
      <c r="AB19" s="1200"/>
      <c r="AC19" s="420"/>
      <c r="AD19" s="421"/>
      <c r="AE19" s="422"/>
      <c r="AF19" s="422"/>
      <c r="AG19" s="422"/>
      <c r="AH19" s="423"/>
      <c r="AI19" s="4"/>
      <c r="AJ19" s="1465" t="s">
        <v>1050</v>
      </c>
      <c r="AK19" s="1009" t="s">
        <v>1023</v>
      </c>
      <c r="AL19" s="1010" t="s">
        <v>1024</v>
      </c>
      <c r="AM19" s="1009" t="s">
        <v>1025</v>
      </c>
      <c r="AN19" s="1011">
        <v>73</v>
      </c>
      <c r="AO19" s="1011">
        <v>80</v>
      </c>
      <c r="AP19" s="1012">
        <f t="shared" si="7"/>
        <v>76.5</v>
      </c>
      <c r="AQ19" s="1006" t="s">
        <v>1026</v>
      </c>
      <c r="AR19" s="1013">
        <f t="shared" si="8"/>
        <v>19.444444444444443</v>
      </c>
      <c r="AS19" s="1013">
        <f t="shared" si="9"/>
        <v>21.111111111111114</v>
      </c>
      <c r="AT19" s="1014"/>
      <c r="AU19" s="1014"/>
    </row>
    <row r="20" spans="1:47" ht="14.25" customHeight="1">
      <c r="A20" s="4"/>
      <c r="B20" s="1921"/>
      <c r="C20" s="1918"/>
      <c r="D20" s="1781"/>
      <c r="E20" s="1787"/>
      <c r="F20" s="1787"/>
      <c r="G20" s="1787"/>
      <c r="H20" s="151"/>
      <c r="I20" s="1781"/>
      <c r="J20" s="1788"/>
      <c r="K20" s="324"/>
      <c r="L20" s="384"/>
      <c r="M20" s="324"/>
      <c r="N20" s="1775"/>
      <c r="O20" s="1775"/>
      <c r="P20" s="324"/>
      <c r="Q20" s="1822">
        <f t="shared" si="6"/>
        <v>1.7000000000000004</v>
      </c>
      <c r="R20" s="1419">
        <f t="shared" si="5"/>
        <v>48.19415000000001</v>
      </c>
      <c r="S20" s="608"/>
      <c r="T20" s="608"/>
      <c r="U20" s="608"/>
      <c r="V20" s="1199"/>
      <c r="W20" s="1199"/>
      <c r="X20" s="1199"/>
      <c r="Y20" s="1199"/>
      <c r="Z20" s="1199"/>
      <c r="AA20" s="1199"/>
      <c r="AB20" s="1200"/>
      <c r="AC20" s="420"/>
      <c r="AD20" s="421"/>
      <c r="AE20" s="422"/>
      <c r="AF20" s="422"/>
      <c r="AG20" s="422"/>
      <c r="AH20" s="423"/>
      <c r="AI20" s="4"/>
      <c r="AJ20" s="1027" t="s">
        <v>1051</v>
      </c>
      <c r="AK20" s="1009" t="s">
        <v>1023</v>
      </c>
      <c r="AL20" s="1010" t="s">
        <v>1024</v>
      </c>
      <c r="AM20" s="1009" t="s">
        <v>1020</v>
      </c>
      <c r="AN20" s="1011">
        <v>70</v>
      </c>
      <c r="AO20" s="1011">
        <v>75</v>
      </c>
      <c r="AP20" s="1012">
        <f t="shared" si="7"/>
        <v>72.5</v>
      </c>
      <c r="AQ20" s="1006" t="s">
        <v>1052</v>
      </c>
      <c r="AR20" s="1013">
        <f t="shared" si="8"/>
        <v>18.333333333333336</v>
      </c>
      <c r="AS20" s="1013">
        <f t="shared" si="9"/>
        <v>21.111111111111114</v>
      </c>
      <c r="AT20" s="1014"/>
      <c r="AU20" s="1014"/>
    </row>
    <row r="21" spans="1:47" ht="14.25" customHeight="1">
      <c r="A21" s="4"/>
      <c r="B21" s="417" t="s">
        <v>385</v>
      </c>
      <c r="C21" s="2644" t="s">
        <v>543</v>
      </c>
      <c r="D21" s="2725"/>
      <c r="E21" s="2725"/>
      <c r="F21" s="2725"/>
      <c r="G21" s="2725"/>
      <c r="H21" s="2725"/>
      <c r="I21" s="2725"/>
      <c r="J21" s="324"/>
      <c r="K21" s="324"/>
      <c r="L21" s="324"/>
      <c r="M21" s="324"/>
      <c r="N21" s="324"/>
      <c r="O21" s="231"/>
      <c r="P21" s="324"/>
      <c r="Q21" s="1822">
        <f t="shared" si="6"/>
        <v>1.8000000000000005</v>
      </c>
      <c r="R21" s="1419">
        <f t="shared" si="5"/>
        <v>51.029100000000014</v>
      </c>
      <c r="S21" s="1687"/>
      <c r="T21" s="1687"/>
      <c r="U21" s="1687"/>
      <c r="V21" s="1199"/>
      <c r="W21" s="1199"/>
      <c r="X21" s="1199"/>
      <c r="Y21" s="1199"/>
      <c r="Z21" s="1199"/>
      <c r="AA21" s="1199"/>
      <c r="AB21" s="1200"/>
      <c r="AC21" s="420"/>
      <c r="AD21" s="421"/>
      <c r="AE21" s="422"/>
      <c r="AF21" s="422"/>
      <c r="AG21" s="422"/>
      <c r="AH21" s="423"/>
      <c r="AI21" s="4"/>
      <c r="AJ21" s="1009" t="s">
        <v>1053</v>
      </c>
      <c r="AK21" s="1009" t="s">
        <v>1023</v>
      </c>
      <c r="AL21" s="1010" t="s">
        <v>1024</v>
      </c>
      <c r="AM21" s="1009" t="s">
        <v>1025</v>
      </c>
      <c r="AN21" s="1011">
        <v>74</v>
      </c>
      <c r="AO21" s="1011">
        <v>80</v>
      </c>
      <c r="AP21" s="1012">
        <f t="shared" si="7"/>
        <v>77</v>
      </c>
      <c r="AQ21" s="1006" t="s">
        <v>1029</v>
      </c>
      <c r="AR21" s="1013">
        <f t="shared" si="8"/>
        <v>18.888888888888886</v>
      </c>
      <c r="AS21" s="1013">
        <f t="shared" si="9"/>
        <v>22.22222222222222</v>
      </c>
      <c r="AT21" s="1014">
        <v>68</v>
      </c>
      <c r="AU21" s="1014">
        <v>72</v>
      </c>
    </row>
    <row r="22" spans="1:47" ht="14.25" customHeight="1">
      <c r="A22" s="4"/>
      <c r="B22" s="417"/>
      <c r="C22" s="434"/>
      <c r="D22" s="434"/>
      <c r="E22" s="434"/>
      <c r="F22" s="434"/>
      <c r="G22" s="434"/>
      <c r="H22" s="434"/>
      <c r="I22" s="434"/>
      <c r="J22" s="324"/>
      <c r="K22" s="324"/>
      <c r="L22" s="324"/>
      <c r="M22" s="324"/>
      <c r="N22" s="324"/>
      <c r="O22" s="231"/>
      <c r="P22" s="324"/>
      <c r="Q22" s="1822">
        <f t="shared" si="6"/>
        <v>1.9000000000000006</v>
      </c>
      <c r="R22" s="1419">
        <f t="shared" si="5"/>
        <v>53.86405000000001</v>
      </c>
      <c r="S22" s="1687"/>
      <c r="T22" s="1687"/>
      <c r="U22" s="1687"/>
      <c r="V22" s="1199"/>
      <c r="W22" s="1199"/>
      <c r="X22" s="1199"/>
      <c r="Y22" s="1199"/>
      <c r="Z22" s="1199"/>
      <c r="AA22" s="1199"/>
      <c r="AB22" s="1200"/>
      <c r="AC22" s="420"/>
      <c r="AD22" s="421"/>
      <c r="AE22" s="422"/>
      <c r="AF22" s="422"/>
      <c r="AG22" s="422"/>
      <c r="AH22" s="423"/>
      <c r="AI22" s="4"/>
      <c r="AJ22" s="1009" t="s">
        <v>1054</v>
      </c>
      <c r="AK22" s="1009" t="s">
        <v>1040</v>
      </c>
      <c r="AL22" s="1010" t="s">
        <v>1024</v>
      </c>
      <c r="AM22" s="1009" t="s">
        <v>1028</v>
      </c>
      <c r="AN22" s="1011">
        <v>73</v>
      </c>
      <c r="AO22" s="1011">
        <v>77</v>
      </c>
      <c r="AP22" s="1012">
        <f t="shared" si="7"/>
        <v>75</v>
      </c>
      <c r="AQ22" s="1022">
        <v>9</v>
      </c>
      <c r="AR22" s="1013">
        <f t="shared" si="8"/>
        <v>7.777777777777779</v>
      </c>
      <c r="AS22" s="1013">
        <f t="shared" si="9"/>
        <v>14.444444444444443</v>
      </c>
      <c r="AT22" s="1014"/>
      <c r="AU22" s="1014"/>
    </row>
    <row r="23" spans="1:47" ht="14.25" customHeight="1">
      <c r="A23" s="4"/>
      <c r="B23" s="2063" t="s">
        <v>283</v>
      </c>
      <c r="C23" s="1928">
        <v>23</v>
      </c>
      <c r="D23" s="2719" t="str">
        <f>" = "&amp;FIXED(C23*1.76)&amp;" UK pt. &amp; "&amp;FIXED(C23*1.76*6/5)&amp;" US pt."</f>
        <v> = 40.48 UK pt. &amp; 48.58 US pt.</v>
      </c>
      <c r="E23" s="2719"/>
      <c r="F23" s="2719"/>
      <c r="G23" s="2796" t="s">
        <v>1526</v>
      </c>
      <c r="H23" s="2796"/>
      <c r="I23" s="2796"/>
      <c r="J23" s="2796"/>
      <c r="K23" s="1679"/>
      <c r="L23" s="324"/>
      <c r="M23" s="324"/>
      <c r="N23" s="324"/>
      <c r="O23" s="324"/>
      <c r="P23" s="324"/>
      <c r="Q23" s="1822">
        <f>Q22+0.1</f>
        <v>2.0000000000000004</v>
      </c>
      <c r="R23" s="1419">
        <f t="shared" si="5"/>
        <v>56.69900000000001</v>
      </c>
      <c r="S23" s="4"/>
      <c r="T23" s="4"/>
      <c r="U23" s="4"/>
      <c r="V23" s="1199"/>
      <c r="W23" s="1199"/>
      <c r="X23" s="1199"/>
      <c r="Y23" s="1199"/>
      <c r="Z23" s="1199"/>
      <c r="AA23" s="1199"/>
      <c r="AB23" s="1200"/>
      <c r="AC23" s="420"/>
      <c r="AD23" s="421"/>
      <c r="AE23" s="422"/>
      <c r="AF23" s="422"/>
      <c r="AG23" s="422"/>
      <c r="AH23" s="423"/>
      <c r="AI23" s="4"/>
      <c r="AJ23" s="1009" t="s">
        <v>1055</v>
      </c>
      <c r="AK23" s="1009" t="s">
        <v>1023</v>
      </c>
      <c r="AL23" s="1010" t="s">
        <v>1024</v>
      </c>
      <c r="AM23" s="1009" t="s">
        <v>1036</v>
      </c>
      <c r="AN23" s="1011">
        <v>73</v>
      </c>
      <c r="AO23" s="1011">
        <v>77</v>
      </c>
      <c r="AP23" s="1012">
        <f t="shared" si="7"/>
        <v>75</v>
      </c>
      <c r="AQ23" s="1006" t="s">
        <v>1026</v>
      </c>
      <c r="AR23" s="1013">
        <f t="shared" si="8"/>
        <v>18.888888888888886</v>
      </c>
      <c r="AS23" s="1013">
        <f t="shared" si="9"/>
        <v>21.111111111111114</v>
      </c>
      <c r="AT23" s="1014">
        <v>50</v>
      </c>
      <c r="AU23" s="1014">
        <v>55</v>
      </c>
    </row>
    <row r="24" spans="1:47" ht="14.25" customHeight="1">
      <c r="A24" s="4"/>
      <c r="B24" s="415" t="s">
        <v>44</v>
      </c>
      <c r="C24" s="340">
        <v>75</v>
      </c>
      <c r="D24" s="2734" t="s">
        <v>258</v>
      </c>
      <c r="E24" s="2466"/>
      <c r="F24" s="2466"/>
      <c r="G24" s="2466"/>
      <c r="H24" s="2466"/>
      <c r="I24" s="2466"/>
      <c r="J24" s="324"/>
      <c r="K24" s="324"/>
      <c r="L24" s="384"/>
      <c r="M24" s="384"/>
      <c r="N24" s="384"/>
      <c r="O24" s="324"/>
      <c r="P24" s="324"/>
      <c r="Q24" s="1822">
        <f t="shared" si="4"/>
        <v>2.1000000000000005</v>
      </c>
      <c r="R24" s="1419">
        <f t="shared" si="5"/>
        <v>59.53395000000001</v>
      </c>
      <c r="S24" s="4"/>
      <c r="T24" s="4"/>
      <c r="U24" s="4"/>
      <c r="V24" s="1199"/>
      <c r="W24" s="1199"/>
      <c r="X24" s="1199"/>
      <c r="Y24" s="1199"/>
      <c r="Z24" s="1199"/>
      <c r="AA24" s="1199"/>
      <c r="AB24" s="1200"/>
      <c r="AC24" s="420"/>
      <c r="AD24" s="421"/>
      <c r="AE24" s="422"/>
      <c r="AF24" s="422"/>
      <c r="AG24" s="422"/>
      <c r="AH24" s="423"/>
      <c r="AI24" s="4"/>
      <c r="AJ24" s="1009" t="s">
        <v>1056</v>
      </c>
      <c r="AK24" s="1009" t="s">
        <v>1033</v>
      </c>
      <c r="AL24" s="1010" t="s">
        <v>1024</v>
      </c>
      <c r="AM24" s="1009" t="s">
        <v>1020</v>
      </c>
      <c r="AN24" s="1020"/>
      <c r="AO24" s="1020"/>
      <c r="AP24" s="1021" t="s">
        <v>1034</v>
      </c>
      <c r="AQ24" s="1022" t="s">
        <v>1034</v>
      </c>
      <c r="AR24" s="1013">
        <f t="shared" si="8"/>
        <v>10</v>
      </c>
      <c r="AS24" s="1013">
        <f t="shared" si="9"/>
        <v>13.888888888888886</v>
      </c>
      <c r="AT24" s="1014">
        <v>58</v>
      </c>
      <c r="AU24" s="1014">
        <v>74</v>
      </c>
    </row>
    <row r="25" spans="1:47" ht="14.25" customHeight="1">
      <c r="A25" s="4"/>
      <c r="B25" s="437" t="s">
        <v>396</v>
      </c>
      <c r="C25" s="340">
        <v>20</v>
      </c>
      <c r="D25" s="2661" t="s">
        <v>1158</v>
      </c>
      <c r="E25" s="2466"/>
      <c r="F25" s="2466"/>
      <c r="G25" s="2466"/>
      <c r="H25" s="2466"/>
      <c r="I25" s="1929"/>
      <c r="J25" s="1930"/>
      <c r="K25" s="386"/>
      <c r="L25" s="2004"/>
      <c r="M25" s="2004"/>
      <c r="N25" s="2005"/>
      <c r="O25" s="2005"/>
      <c r="P25" s="324"/>
      <c r="Q25" s="1822">
        <f t="shared" si="4"/>
        <v>2.2000000000000006</v>
      </c>
      <c r="R25" s="1419">
        <f t="shared" si="5"/>
        <v>62.36890000000002</v>
      </c>
      <c r="S25" s="344"/>
      <c r="T25" s="344"/>
      <c r="U25" s="458"/>
      <c r="V25" s="1199"/>
      <c r="W25" s="1199"/>
      <c r="X25" s="1199"/>
      <c r="Y25" s="1199"/>
      <c r="Z25" s="1199"/>
      <c r="AA25" s="1199"/>
      <c r="AB25" s="1200"/>
      <c r="AC25" s="420"/>
      <c r="AD25" s="421"/>
      <c r="AE25" s="422"/>
      <c r="AF25" s="422"/>
      <c r="AG25" s="422"/>
      <c r="AH25" s="423"/>
      <c r="AI25" s="4"/>
      <c r="AJ25" s="1025" t="s">
        <v>1057</v>
      </c>
      <c r="AK25" s="1009" t="s">
        <v>1040</v>
      </c>
      <c r="AL25" s="1010" t="s">
        <v>1024</v>
      </c>
      <c r="AM25" s="1009" t="s">
        <v>1036</v>
      </c>
      <c r="AN25" s="1011">
        <v>70</v>
      </c>
      <c r="AO25" s="1011">
        <v>76</v>
      </c>
      <c r="AP25" s="1012">
        <f aca="true" t="shared" si="10" ref="AP25:AP37">(AN25+AO25)/2</f>
        <v>73</v>
      </c>
      <c r="AQ25" s="1022">
        <v>10</v>
      </c>
      <c r="AR25" s="1013">
        <f t="shared" si="8"/>
        <v>17.77777777777778</v>
      </c>
      <c r="AS25" s="1013">
        <f t="shared" si="9"/>
        <v>23.888888888888886</v>
      </c>
      <c r="AT25" s="1014">
        <v>67</v>
      </c>
      <c r="AU25" s="1014">
        <v>70</v>
      </c>
    </row>
    <row r="26" spans="1:47" ht="14.25" customHeight="1">
      <c r="A26" s="4"/>
      <c r="B26" s="437"/>
      <c r="C26" s="1768"/>
      <c r="D26" s="1678"/>
      <c r="E26" s="370"/>
      <c r="F26" s="370"/>
      <c r="G26" s="370"/>
      <c r="H26" s="370"/>
      <c r="I26" s="1929"/>
      <c r="J26" s="1930"/>
      <c r="K26" s="386"/>
      <c r="L26" s="2004"/>
      <c r="M26" s="2004"/>
      <c r="N26" s="2005"/>
      <c r="O26" s="2005"/>
      <c r="P26" s="324"/>
      <c r="Q26" s="1822">
        <f t="shared" si="4"/>
        <v>2.3000000000000007</v>
      </c>
      <c r="R26" s="1419">
        <f t="shared" si="5"/>
        <v>65.20385000000002</v>
      </c>
      <c r="S26" s="344"/>
      <c r="T26" s="344"/>
      <c r="U26" s="458"/>
      <c r="V26" s="1199"/>
      <c r="W26" s="1199"/>
      <c r="X26" s="1199"/>
      <c r="Y26" s="1199"/>
      <c r="Z26" s="1199"/>
      <c r="AA26" s="1199"/>
      <c r="AB26" s="1200"/>
      <c r="AC26" s="420"/>
      <c r="AD26" s="421"/>
      <c r="AE26" s="422"/>
      <c r="AF26" s="422"/>
      <c r="AG26" s="422"/>
      <c r="AH26" s="423"/>
      <c r="AI26" s="4"/>
      <c r="AJ26" s="1009" t="s">
        <v>1058</v>
      </c>
      <c r="AK26" s="1009" t="s">
        <v>1040</v>
      </c>
      <c r="AL26" s="1010" t="s">
        <v>1024</v>
      </c>
      <c r="AM26" s="1009" t="s">
        <v>1025</v>
      </c>
      <c r="AN26" s="1011">
        <v>73</v>
      </c>
      <c r="AO26" s="1011">
        <v>77</v>
      </c>
      <c r="AP26" s="1012">
        <f t="shared" si="10"/>
        <v>75</v>
      </c>
      <c r="AQ26" s="1022">
        <v>10</v>
      </c>
      <c r="AR26" s="1013">
        <f t="shared" si="8"/>
        <v>17.77777777777778</v>
      </c>
      <c r="AS26" s="1013">
        <f t="shared" si="9"/>
        <v>23.333333333333336</v>
      </c>
      <c r="AT26" s="1014">
        <v>65</v>
      </c>
      <c r="AU26" s="1014">
        <v>70</v>
      </c>
    </row>
    <row r="27" spans="1:47" ht="14.25" customHeight="1">
      <c r="A27" s="4"/>
      <c r="B27" s="437"/>
      <c r="C27" s="2006"/>
      <c r="D27" s="2718" t="s">
        <v>452</v>
      </c>
      <c r="E27" s="2718"/>
      <c r="F27" s="2718"/>
      <c r="G27" s="2718"/>
      <c r="H27" s="2718"/>
      <c r="I27" s="1929"/>
      <c r="J27" s="1930"/>
      <c r="K27" s="386"/>
      <c r="L27" s="2004"/>
      <c r="M27" s="2004"/>
      <c r="N27" s="2005"/>
      <c r="O27" s="2005"/>
      <c r="P27" s="324"/>
      <c r="Q27" s="1822">
        <f t="shared" si="4"/>
        <v>2.400000000000001</v>
      </c>
      <c r="R27" s="1419">
        <f t="shared" si="5"/>
        <v>68.03880000000002</v>
      </c>
      <c r="S27" s="4"/>
      <c r="T27" s="4"/>
      <c r="U27" s="4"/>
      <c r="V27" s="1199"/>
      <c r="W27" s="1199"/>
      <c r="X27" s="1199"/>
      <c r="Y27" s="1199"/>
      <c r="Z27" s="1199"/>
      <c r="AA27" s="1199"/>
      <c r="AB27" s="1200"/>
      <c r="AC27" s="420"/>
      <c r="AD27" s="421"/>
      <c r="AE27" s="422"/>
      <c r="AF27" s="422"/>
      <c r="AG27" s="422"/>
      <c r="AH27" s="423"/>
      <c r="AI27" s="4"/>
      <c r="AJ27" s="1009" t="s">
        <v>1059</v>
      </c>
      <c r="AK27" s="1009" t="s">
        <v>1023</v>
      </c>
      <c r="AL27" s="1010" t="s">
        <v>1024</v>
      </c>
      <c r="AM27" s="1009" t="s">
        <v>1020</v>
      </c>
      <c r="AN27" s="1011">
        <v>72</v>
      </c>
      <c r="AO27" s="1011">
        <v>80</v>
      </c>
      <c r="AP27" s="1012">
        <f t="shared" si="10"/>
        <v>76</v>
      </c>
      <c r="AQ27" s="1006" t="s">
        <v>1026</v>
      </c>
      <c r="AR27" s="1013">
        <f t="shared" si="8"/>
        <v>18.333333333333336</v>
      </c>
      <c r="AS27" s="1013">
        <f t="shared" si="9"/>
        <v>21.111111111111114</v>
      </c>
      <c r="AT27" s="1014">
        <v>66</v>
      </c>
      <c r="AU27" s="1014">
        <v>72</v>
      </c>
    </row>
    <row r="28" spans="1:47" ht="14.25" customHeight="1">
      <c r="A28" s="4"/>
      <c r="B28" s="437"/>
      <c r="C28" s="380"/>
      <c r="D28" s="384"/>
      <c r="E28" s="324"/>
      <c r="F28" s="1775"/>
      <c r="G28" s="1775"/>
      <c r="H28" s="370"/>
      <c r="I28" s="2733" t="s">
        <v>271</v>
      </c>
      <c r="J28" s="2733"/>
      <c r="K28" s="1400">
        <v>0.1111</v>
      </c>
      <c r="L28" s="2007" t="s">
        <v>105</v>
      </c>
      <c r="M28" s="2004"/>
      <c r="N28" s="2005"/>
      <c r="O28" s="2005"/>
      <c r="P28" s="324"/>
      <c r="Q28" s="1822">
        <f t="shared" si="4"/>
        <v>2.500000000000001</v>
      </c>
      <c r="R28" s="1419">
        <f t="shared" si="5"/>
        <v>70.87375000000003</v>
      </c>
      <c r="S28" s="4"/>
      <c r="T28" s="4"/>
      <c r="U28" s="4"/>
      <c r="V28" s="1199"/>
      <c r="W28" s="1199"/>
      <c r="X28" s="1199"/>
      <c r="Y28" s="1199"/>
      <c r="Z28" s="1199"/>
      <c r="AA28" s="1199"/>
      <c r="AB28" s="1200"/>
      <c r="AC28" s="420"/>
      <c r="AD28" s="421"/>
      <c r="AE28" s="422"/>
      <c r="AF28" s="422"/>
      <c r="AG28" s="422"/>
      <c r="AH28" s="423"/>
      <c r="AI28" s="4"/>
      <c r="AJ28" s="1009" t="s">
        <v>1060</v>
      </c>
      <c r="AK28" s="1009" t="s">
        <v>1040</v>
      </c>
      <c r="AL28" s="1010" t="s">
        <v>1024</v>
      </c>
      <c r="AM28" s="1009" t="s">
        <v>1061</v>
      </c>
      <c r="AN28" s="1011">
        <v>74</v>
      </c>
      <c r="AO28" s="1011">
        <v>78</v>
      </c>
      <c r="AP28" s="1012">
        <f t="shared" si="10"/>
        <v>76</v>
      </c>
      <c r="AQ28" s="1022">
        <v>12</v>
      </c>
      <c r="AR28" s="1013">
        <f t="shared" si="8"/>
        <v>20</v>
      </c>
      <c r="AS28" s="1013">
        <f t="shared" si="9"/>
        <v>25.555555555555557</v>
      </c>
      <c r="AT28" s="1014">
        <v>46</v>
      </c>
      <c r="AU28" s="1014">
        <v>58</v>
      </c>
    </row>
    <row r="29" spans="1:47" ht="14.25" customHeight="1">
      <c r="A29" s="4"/>
      <c r="B29" s="437"/>
      <c r="C29" s="189" t="s">
        <v>492</v>
      </c>
      <c r="D29" s="189" t="s">
        <v>367</v>
      </c>
      <c r="E29" s="189" t="s">
        <v>654</v>
      </c>
      <c r="F29" s="324"/>
      <c r="G29" s="324"/>
      <c r="H29" s="370"/>
      <c r="I29" s="2554" t="s">
        <v>689</v>
      </c>
      <c r="J29" s="2555"/>
      <c r="K29" s="2556"/>
      <c r="L29" s="608"/>
      <c r="M29" s="2753" t="s">
        <v>956</v>
      </c>
      <c r="N29" s="2753"/>
      <c r="O29" s="2753"/>
      <c r="P29" s="324"/>
      <c r="Q29" s="1822">
        <f t="shared" si="4"/>
        <v>2.600000000000001</v>
      </c>
      <c r="R29" s="1419">
        <f t="shared" si="5"/>
        <v>73.70870000000002</v>
      </c>
      <c r="S29" s="4"/>
      <c r="T29" s="4"/>
      <c r="U29" s="4"/>
      <c r="V29" s="1199"/>
      <c r="W29" s="1199"/>
      <c r="X29" s="1199"/>
      <c r="Y29" s="1199"/>
      <c r="Z29" s="1199"/>
      <c r="AA29" s="1199"/>
      <c r="AB29" s="1200"/>
      <c r="AC29" s="420"/>
      <c r="AD29" s="421"/>
      <c r="AE29" s="422"/>
      <c r="AF29" s="422"/>
      <c r="AG29" s="422"/>
      <c r="AH29" s="423"/>
      <c r="AI29" s="4"/>
      <c r="AJ29" s="1009" t="s">
        <v>1062</v>
      </c>
      <c r="AK29" s="1009" t="s">
        <v>1040</v>
      </c>
      <c r="AL29" s="1010" t="s">
        <v>1024</v>
      </c>
      <c r="AM29" s="1009" t="s">
        <v>1025</v>
      </c>
      <c r="AN29" s="1011">
        <v>73</v>
      </c>
      <c r="AO29" s="1011">
        <v>77</v>
      </c>
      <c r="AP29" s="1012">
        <f t="shared" si="10"/>
        <v>75</v>
      </c>
      <c r="AQ29" s="1022">
        <v>12</v>
      </c>
      <c r="AR29" s="1013">
        <f t="shared" si="8"/>
        <v>18.333333333333336</v>
      </c>
      <c r="AS29" s="1013">
        <f t="shared" si="9"/>
        <v>23.888888888888886</v>
      </c>
      <c r="AT29" s="1014">
        <v>66</v>
      </c>
      <c r="AU29" s="1014">
        <v>70</v>
      </c>
    </row>
    <row r="30" spans="1:47" ht="14.25" customHeight="1">
      <c r="A30" s="4"/>
      <c r="B30" s="437"/>
      <c r="C30" s="1197">
        <v>5</v>
      </c>
      <c r="D30" s="190">
        <f>C30*3.7854*6/5</f>
        <v>22.7124</v>
      </c>
      <c r="E30" s="190">
        <f>C30*8</f>
        <v>40</v>
      </c>
      <c r="F30" s="324"/>
      <c r="G30" s="324"/>
      <c r="H30" s="370"/>
      <c r="I30" s="1912" t="s">
        <v>106</v>
      </c>
      <c r="J30" s="1912" t="s">
        <v>270</v>
      </c>
      <c r="K30" s="1912" t="s">
        <v>269</v>
      </c>
      <c r="L30" s="608"/>
      <c r="M30" s="1470" t="s">
        <v>105</v>
      </c>
      <c r="N30" s="1306" t="s">
        <v>290</v>
      </c>
      <c r="O30" s="1308" t="s">
        <v>106</v>
      </c>
      <c r="P30" s="324"/>
      <c r="Q30" s="1822">
        <f t="shared" si="4"/>
        <v>2.700000000000001</v>
      </c>
      <c r="R30" s="1419">
        <f t="shared" si="5"/>
        <v>76.54365000000003</v>
      </c>
      <c r="S30" s="4"/>
      <c r="T30" s="4"/>
      <c r="U30" s="4"/>
      <c r="V30" s="1199"/>
      <c r="W30" s="1199"/>
      <c r="X30" s="1199"/>
      <c r="Y30" s="1199"/>
      <c r="Z30" s="1199"/>
      <c r="AA30" s="1199"/>
      <c r="AB30" s="1200"/>
      <c r="AC30" s="420"/>
      <c r="AD30" s="421"/>
      <c r="AE30" s="422"/>
      <c r="AF30" s="422"/>
      <c r="AG30" s="422"/>
      <c r="AH30" s="423"/>
      <c r="AI30" s="4"/>
      <c r="AJ30" s="1028" t="s">
        <v>1064</v>
      </c>
      <c r="AK30" s="1009" t="s">
        <v>1023</v>
      </c>
      <c r="AL30" s="1010" t="s">
        <v>1024</v>
      </c>
      <c r="AM30" s="1009" t="s">
        <v>1025</v>
      </c>
      <c r="AN30" s="1011">
        <v>74</v>
      </c>
      <c r="AO30" s="1011">
        <v>82</v>
      </c>
      <c r="AP30" s="1012">
        <f t="shared" si="10"/>
        <v>78</v>
      </c>
      <c r="AQ30" s="1006" t="s">
        <v>1029</v>
      </c>
      <c r="AR30" s="1013">
        <f t="shared" si="8"/>
        <v>18.888888888888886</v>
      </c>
      <c r="AS30" s="1013">
        <f t="shared" si="9"/>
        <v>22.22222222222222</v>
      </c>
      <c r="AT30" s="1014">
        <v>50</v>
      </c>
      <c r="AU30" s="1014">
        <v>57</v>
      </c>
    </row>
    <row r="31" spans="1:47" ht="14.25" customHeight="1">
      <c r="A31" s="4"/>
      <c r="B31" s="437"/>
      <c r="C31" s="324"/>
      <c r="D31" s="324"/>
      <c r="E31" s="324"/>
      <c r="F31" s="324"/>
      <c r="G31" s="324"/>
      <c r="H31" s="370"/>
      <c r="I31" s="1473">
        <v>1</v>
      </c>
      <c r="J31" s="1464">
        <f>I31*K28</f>
        <v>0.1111</v>
      </c>
      <c r="K31" s="1474">
        <f>I31*K28*28.3495</f>
        <v>3.14962945</v>
      </c>
      <c r="L31" s="608"/>
      <c r="M31" s="1547">
        <v>0.111</v>
      </c>
      <c r="N31" s="1472">
        <f>M31*28.3495</f>
        <v>3.1467945</v>
      </c>
      <c r="O31" s="1472">
        <f>M31/K28</f>
        <v>0.9990999099909991</v>
      </c>
      <c r="P31" s="324"/>
      <c r="Q31" s="1822">
        <f t="shared" si="4"/>
        <v>2.800000000000001</v>
      </c>
      <c r="R31" s="1419">
        <f t="shared" si="5"/>
        <v>79.37860000000003</v>
      </c>
      <c r="S31" s="344"/>
      <c r="T31" s="344"/>
      <c r="U31" s="458"/>
      <c r="V31" s="1199"/>
      <c r="W31" s="1199"/>
      <c r="X31" s="1199"/>
      <c r="Y31" s="1199"/>
      <c r="Z31" s="1199"/>
      <c r="AA31" s="1199"/>
      <c r="AB31" s="1200"/>
      <c r="AC31" s="420"/>
      <c r="AD31" s="421"/>
      <c r="AE31" s="422"/>
      <c r="AF31" s="422"/>
      <c r="AG31" s="422"/>
      <c r="AH31" s="423"/>
      <c r="AI31" s="4"/>
      <c r="AJ31" s="1009" t="s">
        <v>1065</v>
      </c>
      <c r="AK31" s="1009" t="s">
        <v>1023</v>
      </c>
      <c r="AL31" s="1010" t="s">
        <v>1024</v>
      </c>
      <c r="AM31" s="1009" t="s">
        <v>1025</v>
      </c>
      <c r="AN31" s="1011">
        <v>78</v>
      </c>
      <c r="AO31" s="1011">
        <v>85</v>
      </c>
      <c r="AP31" s="1012">
        <f t="shared" si="10"/>
        <v>81.5</v>
      </c>
      <c r="AQ31" s="1006" t="s">
        <v>1038</v>
      </c>
      <c r="AR31" s="1013">
        <f t="shared" si="8"/>
        <v>20</v>
      </c>
      <c r="AS31" s="1013">
        <f t="shared" si="9"/>
        <v>25.555555555555557</v>
      </c>
      <c r="AT31" s="1014">
        <v>64</v>
      </c>
      <c r="AU31" s="1014">
        <v>75</v>
      </c>
    </row>
    <row r="32" spans="1:47" ht="14.25" customHeight="1">
      <c r="A32" s="4"/>
      <c r="B32" s="437"/>
      <c r="C32" s="189" t="s">
        <v>491</v>
      </c>
      <c r="D32" s="189" t="s">
        <v>117</v>
      </c>
      <c r="E32" s="189" t="s">
        <v>655</v>
      </c>
      <c r="F32" s="1919"/>
      <c r="G32" s="324"/>
      <c r="H32" s="370"/>
      <c r="I32" s="370"/>
      <c r="J32" s="370"/>
      <c r="K32" s="370"/>
      <c r="L32" s="370"/>
      <c r="M32" s="2004"/>
      <c r="N32" s="2005"/>
      <c r="O32" s="2005"/>
      <c r="P32" s="324"/>
      <c r="Q32" s="1822">
        <f t="shared" si="4"/>
        <v>2.9000000000000012</v>
      </c>
      <c r="R32" s="1419">
        <f t="shared" si="5"/>
        <v>82.21355000000003</v>
      </c>
      <c r="S32" s="344"/>
      <c r="T32" s="344"/>
      <c r="U32" s="458"/>
      <c r="V32" s="1199"/>
      <c r="W32" s="1199"/>
      <c r="X32" s="1199"/>
      <c r="Y32" s="1199"/>
      <c r="Z32" s="1199"/>
      <c r="AA32" s="1199"/>
      <c r="AB32" s="1200"/>
      <c r="AC32" s="420"/>
      <c r="AD32" s="421"/>
      <c r="AE32" s="422"/>
      <c r="AF32" s="422"/>
      <c r="AG32" s="422"/>
      <c r="AH32" s="423"/>
      <c r="AI32" s="4"/>
      <c r="AJ32" s="1028" t="s">
        <v>1066</v>
      </c>
      <c r="AK32" s="1009" t="s">
        <v>1040</v>
      </c>
      <c r="AL32" s="1010" t="s">
        <v>1024</v>
      </c>
      <c r="AM32" s="1009" t="s">
        <v>1020</v>
      </c>
      <c r="AN32" s="1011">
        <v>72</v>
      </c>
      <c r="AO32" s="1011">
        <v>76</v>
      </c>
      <c r="AP32" s="1012">
        <f t="shared" si="10"/>
        <v>74</v>
      </c>
      <c r="AQ32" s="1022">
        <v>12</v>
      </c>
      <c r="AR32" s="1013">
        <f t="shared" si="8"/>
        <v>18.333333333333336</v>
      </c>
      <c r="AS32" s="1013">
        <f t="shared" si="9"/>
        <v>24.444444444444443</v>
      </c>
      <c r="AT32" s="1014">
        <v>64</v>
      </c>
      <c r="AU32" s="1014">
        <v>74</v>
      </c>
    </row>
    <row r="33" spans="1:47" ht="14.25" customHeight="1">
      <c r="A33" s="4"/>
      <c r="B33" s="437"/>
      <c r="C33" s="261">
        <v>5.5</v>
      </c>
      <c r="D33" s="190">
        <f>3.7854*C33</f>
        <v>20.8197</v>
      </c>
      <c r="E33" s="190">
        <f>C33*8</f>
        <v>44</v>
      </c>
      <c r="F33" s="370"/>
      <c r="G33" s="324"/>
      <c r="H33" s="370"/>
      <c r="I33" s="1929"/>
      <c r="J33" s="1930"/>
      <c r="K33" s="386"/>
      <c r="L33" s="2004"/>
      <c r="M33" s="2004"/>
      <c r="N33" s="2005"/>
      <c r="O33" s="2005"/>
      <c r="P33" s="324"/>
      <c r="Q33" s="1822">
        <f t="shared" si="4"/>
        <v>3.0000000000000013</v>
      </c>
      <c r="R33" s="1419">
        <f t="shared" si="5"/>
        <v>85.04850000000003</v>
      </c>
      <c r="S33" s="344"/>
      <c r="T33" s="344"/>
      <c r="U33" s="458"/>
      <c r="V33" s="1199"/>
      <c r="W33" s="1199"/>
      <c r="X33" s="1199"/>
      <c r="Y33" s="1199"/>
      <c r="Z33" s="1199"/>
      <c r="AA33" s="1199"/>
      <c r="AB33" s="1200"/>
      <c r="AC33" s="420"/>
      <c r="AD33" s="421"/>
      <c r="AE33" s="422"/>
      <c r="AF33" s="422"/>
      <c r="AG33" s="422"/>
      <c r="AH33" s="423"/>
      <c r="AI33" s="4"/>
      <c r="AJ33" s="1009" t="s">
        <v>1067</v>
      </c>
      <c r="AK33" s="1009" t="s">
        <v>1023</v>
      </c>
      <c r="AL33" s="1010" t="s">
        <v>1024</v>
      </c>
      <c r="AM33" s="1009" t="s">
        <v>1036</v>
      </c>
      <c r="AN33" s="1011">
        <v>73</v>
      </c>
      <c r="AO33" s="1011">
        <v>78</v>
      </c>
      <c r="AP33" s="1012">
        <f t="shared" si="10"/>
        <v>75.5</v>
      </c>
      <c r="AQ33" s="1006" t="s">
        <v>1029</v>
      </c>
      <c r="AR33" s="1013">
        <f t="shared" si="8"/>
        <v>20</v>
      </c>
      <c r="AS33" s="1013">
        <f t="shared" si="9"/>
        <v>23.888888888888886</v>
      </c>
      <c r="AT33" s="1014">
        <v>65</v>
      </c>
      <c r="AU33" s="1014">
        <v>70</v>
      </c>
    </row>
    <row r="34" spans="1:47" ht="14.25" customHeight="1">
      <c r="A34" s="109"/>
      <c r="B34" s="2008"/>
      <c r="C34" s="2008"/>
      <c r="D34" s="2008"/>
      <c r="E34" s="2008"/>
      <c r="F34" s="2008"/>
      <c r="G34" s="2008"/>
      <c r="H34" s="2720"/>
      <c r="I34" s="2721"/>
      <c r="J34" s="2736" t="s">
        <v>56</v>
      </c>
      <c r="K34" s="2737"/>
      <c r="L34" s="2737"/>
      <c r="M34" s="2737"/>
      <c r="N34" s="2737"/>
      <c r="O34" s="2738"/>
      <c r="P34" s="324"/>
      <c r="Q34" s="1822">
        <f>Q33+0.1</f>
        <v>3.1000000000000014</v>
      </c>
      <c r="R34" s="1419">
        <f t="shared" si="5"/>
        <v>87.88345000000004</v>
      </c>
      <c r="S34" s="546"/>
      <c r="T34" s="546"/>
      <c r="U34" s="458"/>
      <c r="AC34" s="85"/>
      <c r="AD34" s="85"/>
      <c r="AE34" s="85"/>
      <c r="AF34" s="85"/>
      <c r="AG34" s="85"/>
      <c r="AH34" s="83"/>
      <c r="AI34" s="4"/>
      <c r="AJ34" s="1009" t="s">
        <v>1068</v>
      </c>
      <c r="AK34" s="1009" t="s">
        <v>1040</v>
      </c>
      <c r="AL34" s="1010" t="s">
        <v>1024</v>
      </c>
      <c r="AM34" s="1009" t="s">
        <v>1069</v>
      </c>
      <c r="AN34" s="1011">
        <v>70</v>
      </c>
      <c r="AO34" s="1011">
        <v>80</v>
      </c>
      <c r="AP34" s="1012">
        <f t="shared" si="10"/>
        <v>75</v>
      </c>
      <c r="AQ34" s="1022">
        <v>11</v>
      </c>
      <c r="AR34" s="1013">
        <f t="shared" si="8"/>
        <v>17.22222222222222</v>
      </c>
      <c r="AS34" s="1013">
        <f t="shared" si="9"/>
        <v>23.888888888888886</v>
      </c>
      <c r="AT34" s="1014">
        <v>68</v>
      </c>
      <c r="AU34" s="1014">
        <v>78</v>
      </c>
    </row>
    <row r="35" spans="1:47" ht="14.25" customHeight="1">
      <c r="A35" s="559"/>
      <c r="B35" s="558"/>
      <c r="C35" s="380"/>
      <c r="D35" s="1755"/>
      <c r="E35" s="1755"/>
      <c r="F35" s="1755"/>
      <c r="G35" s="1755"/>
      <c r="H35" s="2722"/>
      <c r="I35" s="2723"/>
      <c r="J35" s="2747" t="s">
        <v>62</v>
      </c>
      <c r="K35" s="2748"/>
      <c r="L35" s="2749"/>
      <c r="M35" s="2754" t="s">
        <v>63</v>
      </c>
      <c r="N35" s="2755"/>
      <c r="O35" s="2756"/>
      <c r="P35" s="324"/>
      <c r="Q35" s="1822">
        <f>Q34+0.1</f>
        <v>3.2000000000000015</v>
      </c>
      <c r="R35" s="1419">
        <f>Q35*28.3495</f>
        <v>90.71840000000005</v>
      </c>
      <c r="S35" s="546"/>
      <c r="T35" s="546"/>
      <c r="U35" s="458"/>
      <c r="V35" s="418" t="s">
        <v>55</v>
      </c>
      <c r="W35" s="418"/>
      <c r="X35" s="418"/>
      <c r="Y35" s="418" t="s">
        <v>55</v>
      </c>
      <c r="Z35" s="418"/>
      <c r="AA35" s="418"/>
      <c r="AB35" s="419"/>
      <c r="AC35" s="89"/>
      <c r="AD35" s="89"/>
      <c r="AE35" s="89"/>
      <c r="AF35" s="89"/>
      <c r="AG35" s="89"/>
      <c r="AH35" s="89"/>
      <c r="AI35" s="4"/>
      <c r="AJ35" s="1009" t="s">
        <v>1070</v>
      </c>
      <c r="AK35" s="1009" t="s">
        <v>1040</v>
      </c>
      <c r="AL35" s="1010" t="s">
        <v>1024</v>
      </c>
      <c r="AM35" s="1009" t="s">
        <v>1036</v>
      </c>
      <c r="AN35" s="1011">
        <v>76</v>
      </c>
      <c r="AO35" s="1011">
        <v>80</v>
      </c>
      <c r="AP35" s="1012">
        <f t="shared" si="10"/>
        <v>78</v>
      </c>
      <c r="AQ35" s="1022">
        <v>12</v>
      </c>
      <c r="AR35" s="1013">
        <f t="shared" si="8"/>
        <v>21.111111111111114</v>
      </c>
      <c r="AS35" s="1013">
        <f t="shared" si="9"/>
        <v>35</v>
      </c>
      <c r="AT35" s="1014">
        <v>65</v>
      </c>
      <c r="AU35" s="1014">
        <v>75</v>
      </c>
    </row>
    <row r="36" spans="1:47" ht="14.25" customHeight="1">
      <c r="A36" s="568"/>
      <c r="B36" s="2009" t="s">
        <v>66</v>
      </c>
      <c r="C36" s="543" t="s">
        <v>104</v>
      </c>
      <c r="D36" s="543" t="s">
        <v>105</v>
      </c>
      <c r="E36" s="2011" t="s">
        <v>123</v>
      </c>
      <c r="F36" s="442" t="s">
        <v>406</v>
      </c>
      <c r="G36" s="2010" t="s">
        <v>67</v>
      </c>
      <c r="H36" s="2724"/>
      <c r="I36" s="2634"/>
      <c r="J36" s="2590" t="s">
        <v>115</v>
      </c>
      <c r="K36" s="2590" t="s">
        <v>118</v>
      </c>
      <c r="L36" s="2590" t="s">
        <v>119</v>
      </c>
      <c r="M36" s="2590" t="s">
        <v>115</v>
      </c>
      <c r="N36" s="2590" t="s">
        <v>118</v>
      </c>
      <c r="O36" s="2590" t="s">
        <v>119</v>
      </c>
      <c r="P36" s="324"/>
      <c r="Q36" s="1822">
        <f>Q35+0.1</f>
        <v>3.3000000000000016</v>
      </c>
      <c r="R36" s="1419">
        <f>Q36*28.3495</f>
        <v>93.55335000000004</v>
      </c>
      <c r="S36" s="441" t="s">
        <v>285</v>
      </c>
      <c r="T36" s="544" t="s">
        <v>510</v>
      </c>
      <c r="U36" s="458"/>
      <c r="V36" s="86" t="s">
        <v>408</v>
      </c>
      <c r="W36" s="87"/>
      <c r="X36" s="87"/>
      <c r="Y36" s="88" t="s">
        <v>409</v>
      </c>
      <c r="Z36" s="87"/>
      <c r="AA36" s="87"/>
      <c r="AB36" s="27"/>
      <c r="AC36" s="90" t="s">
        <v>502</v>
      </c>
      <c r="AD36" s="90" t="s">
        <v>503</v>
      </c>
      <c r="AE36" s="90" t="s">
        <v>64</v>
      </c>
      <c r="AF36" s="91" t="s">
        <v>404</v>
      </c>
      <c r="AG36" s="92" t="s">
        <v>65</v>
      </c>
      <c r="AH36" s="92" t="s">
        <v>64</v>
      </c>
      <c r="AI36" s="4"/>
      <c r="AJ36" s="1009" t="s">
        <v>1071</v>
      </c>
      <c r="AK36" s="1009" t="s">
        <v>1023</v>
      </c>
      <c r="AL36" s="1010" t="s">
        <v>1024</v>
      </c>
      <c r="AM36" s="1009" t="s">
        <v>1025</v>
      </c>
      <c r="AN36" s="1011">
        <v>65</v>
      </c>
      <c r="AO36" s="1011">
        <v>75</v>
      </c>
      <c r="AP36" s="1012">
        <f t="shared" si="10"/>
        <v>70</v>
      </c>
      <c r="AQ36" s="1006" t="s">
        <v>1026</v>
      </c>
      <c r="AR36" s="1013">
        <f t="shared" si="8"/>
        <v>20</v>
      </c>
      <c r="AS36" s="1013">
        <f t="shared" si="9"/>
        <v>23.888888888888886</v>
      </c>
      <c r="AT36" s="1014">
        <v>66</v>
      </c>
      <c r="AU36" s="1014">
        <v>72</v>
      </c>
    </row>
    <row r="37" spans="1:47" ht="14.25" customHeight="1">
      <c r="A37" s="2768" t="s">
        <v>583</v>
      </c>
      <c r="B37" s="2012" t="str">
        <f>B$100</f>
        <v>Pale malt</v>
      </c>
      <c r="C37" s="1834">
        <v>5</v>
      </c>
      <c r="D37" s="1834">
        <v>5</v>
      </c>
      <c r="E37" s="2107" t="str">
        <f aca="true" t="shared" si="11" ref="E37:E54">FIXED(S37,0)&amp;"g"</f>
        <v>2,410g</v>
      </c>
      <c r="F37" s="2108">
        <f aca="true" t="shared" si="12" ref="F37:F54">100*IF(S37=0,0,S37/$S$57)</f>
        <v>85.3794642857143</v>
      </c>
      <c r="G37" s="2109">
        <f aca="true" t="shared" si="13" ref="G37:G54">IF(AF37=0,0,AF37*100/$S$58)</f>
        <v>80.64317765744744</v>
      </c>
      <c r="H37" s="2013" t="s">
        <v>68</v>
      </c>
      <c r="I37" s="426" t="s">
        <v>69</v>
      </c>
      <c r="J37" s="2591"/>
      <c r="K37" s="2591"/>
      <c r="L37" s="2591"/>
      <c r="M37" s="2591"/>
      <c r="N37" s="2591"/>
      <c r="O37" s="2591"/>
      <c r="P37" s="324"/>
      <c r="Q37" s="1822">
        <f>Q36+0.1</f>
        <v>3.4000000000000017</v>
      </c>
      <c r="R37" s="1419">
        <f>Q37*28.3495</f>
        <v>96.38830000000004</v>
      </c>
      <c r="S37" s="1408">
        <f aca="true" t="shared" si="14" ref="S37:S54">453.6*(C37+D37/16)</f>
        <v>2409.75</v>
      </c>
      <c r="T37" s="282" t="s">
        <v>290</v>
      </c>
      <c r="U37" s="458"/>
      <c r="V37" s="481" t="s">
        <v>414</v>
      </c>
      <c r="W37" s="481" t="s">
        <v>415</v>
      </c>
      <c r="X37" s="481" t="s">
        <v>416</v>
      </c>
      <c r="Y37" s="481" t="s">
        <v>414</v>
      </c>
      <c r="Z37" s="481" t="s">
        <v>415</v>
      </c>
      <c r="AA37" s="481" t="s">
        <v>416</v>
      </c>
      <c r="AB37" s="27"/>
      <c r="AC37" s="343">
        <f>C$100</f>
        <v>225</v>
      </c>
      <c r="AD37" s="97">
        <f>D$100</f>
        <v>0.62</v>
      </c>
      <c r="AE37" s="343">
        <f>E$100</f>
        <v>4.1</v>
      </c>
      <c r="AF37" s="98">
        <f aca="true" t="shared" si="15" ref="AF37:AF54">0.001*AC37*S37</f>
        <v>542.19375</v>
      </c>
      <c r="AG37" s="106">
        <f aca="true" t="shared" si="16" ref="AG37:AG51">AF37*$AD37</f>
        <v>336.160125</v>
      </c>
      <c r="AH37" s="78">
        <f aca="true" t="shared" si="17" ref="AH37:AH55">0.01*AE37*S37</f>
        <v>98.79974999999999</v>
      </c>
      <c r="AI37" s="4"/>
      <c r="AJ37" s="1009" t="s">
        <v>1072</v>
      </c>
      <c r="AK37" s="1009" t="s">
        <v>1023</v>
      </c>
      <c r="AL37" s="1010" t="s">
        <v>1024</v>
      </c>
      <c r="AM37" s="1009" t="s">
        <v>1025</v>
      </c>
      <c r="AN37" s="1011">
        <v>78</v>
      </c>
      <c r="AO37" s="1011">
        <v>85</v>
      </c>
      <c r="AP37" s="1012">
        <f t="shared" si="10"/>
        <v>81.5</v>
      </c>
      <c r="AQ37" s="1006" t="s">
        <v>1026</v>
      </c>
      <c r="AR37" s="1013">
        <f t="shared" si="8"/>
        <v>20</v>
      </c>
      <c r="AS37" s="1013">
        <f t="shared" si="9"/>
        <v>25.555555555555557</v>
      </c>
      <c r="AT37" s="1014">
        <v>68</v>
      </c>
      <c r="AU37" s="1014">
        <v>78</v>
      </c>
    </row>
    <row r="38" spans="1:47" ht="14.25" customHeight="1">
      <c r="A38" s="2769"/>
      <c r="B38" s="2012" t="str">
        <f>B$101</f>
        <v>Wheat malt</v>
      </c>
      <c r="C38" s="1834"/>
      <c r="D38" s="1834"/>
      <c r="E38" s="2107" t="str">
        <f t="shared" si="11"/>
        <v>0g</v>
      </c>
      <c r="F38" s="2110">
        <f t="shared" si="12"/>
        <v>0</v>
      </c>
      <c r="G38" s="2111">
        <f t="shared" si="13"/>
        <v>0</v>
      </c>
      <c r="H38" s="2141" t="s">
        <v>261</v>
      </c>
      <c r="I38" s="627">
        <v>5.5</v>
      </c>
      <c r="J38" s="2014"/>
      <c r="K38" s="2014"/>
      <c r="L38" s="2015"/>
      <c r="M38" s="2016">
        <f aca="true" t="shared" si="18" ref="M38:M53">J38</f>
        <v>0</v>
      </c>
      <c r="N38" s="2017">
        <f aca="true" t="shared" si="19" ref="N38:N53">K38</f>
        <v>0</v>
      </c>
      <c r="O38" s="2016">
        <f aca="true" t="shared" si="20" ref="O38:O53">L38</f>
        <v>0</v>
      </c>
      <c r="P38" s="4"/>
      <c r="Q38" s="1418">
        <f aca="true" t="shared" si="21" ref="Q38:Q58">Q37+0.1</f>
        <v>3.5000000000000018</v>
      </c>
      <c r="R38" s="1419">
        <f aca="true" t="shared" si="22" ref="R38:R57">Q38*28.3495</f>
        <v>99.22325000000005</v>
      </c>
      <c r="S38" s="562">
        <f t="shared" si="14"/>
        <v>0</v>
      </c>
      <c r="T38" s="282" t="s">
        <v>290</v>
      </c>
      <c r="U38" s="458"/>
      <c r="V38" s="93">
        <f>$I38*J38</f>
        <v>0</v>
      </c>
      <c r="W38" s="93">
        <f aca="true" t="shared" si="23" ref="W38:AA53">$I38*K38</f>
        <v>0</v>
      </c>
      <c r="X38" s="93">
        <f t="shared" si="23"/>
        <v>0</v>
      </c>
      <c r="Y38" s="93">
        <f t="shared" si="23"/>
        <v>0</v>
      </c>
      <c r="Z38" s="93">
        <f t="shared" si="23"/>
        <v>0</v>
      </c>
      <c r="AA38" s="93">
        <f t="shared" si="23"/>
        <v>0</v>
      </c>
      <c r="AB38" s="40"/>
      <c r="AC38" s="97">
        <f>C$101</f>
        <v>228.75</v>
      </c>
      <c r="AD38" s="97">
        <f>D$101</f>
        <v>0.62</v>
      </c>
      <c r="AE38" s="97">
        <f>E$101</f>
        <v>7.65</v>
      </c>
      <c r="AF38" s="98">
        <f t="shared" si="15"/>
        <v>0</v>
      </c>
      <c r="AG38" s="106">
        <f t="shared" si="16"/>
        <v>0</v>
      </c>
      <c r="AH38" s="78">
        <f t="shared" si="17"/>
        <v>0</v>
      </c>
      <c r="AI38" s="4"/>
      <c r="AJ38" s="1009" t="s">
        <v>1073</v>
      </c>
      <c r="AK38" s="1009" t="s">
        <v>1023</v>
      </c>
      <c r="AL38" s="1010" t="s">
        <v>1024</v>
      </c>
      <c r="AM38" s="1009" t="s">
        <v>1074</v>
      </c>
      <c r="AN38" s="1020" t="s">
        <v>1074</v>
      </c>
      <c r="AO38" s="1020" t="s">
        <v>1074</v>
      </c>
      <c r="AP38" s="1021" t="s">
        <v>1074</v>
      </c>
      <c r="AQ38" s="1022" t="s">
        <v>1074</v>
      </c>
      <c r="AR38" s="1013" t="s">
        <v>1074</v>
      </c>
      <c r="AS38" s="1013" t="s">
        <v>1074</v>
      </c>
      <c r="AT38" s="1014">
        <v>65</v>
      </c>
      <c r="AU38" s="1014">
        <v>76</v>
      </c>
    </row>
    <row r="39" spans="1:47" ht="14.25" customHeight="1">
      <c r="A39" s="2769"/>
      <c r="B39" s="2012" t="str">
        <f>B$102</f>
        <v>Lager malt (Pilsner)</v>
      </c>
      <c r="C39" s="1834"/>
      <c r="D39" s="1834"/>
      <c r="E39" s="2107" t="str">
        <f t="shared" si="11"/>
        <v>0g</v>
      </c>
      <c r="F39" s="2110">
        <f t="shared" si="12"/>
        <v>0</v>
      </c>
      <c r="G39" s="2111">
        <f t="shared" si="13"/>
        <v>0</v>
      </c>
      <c r="H39" s="2142" t="s">
        <v>419</v>
      </c>
      <c r="I39" s="428">
        <v>8</v>
      </c>
      <c r="J39" s="2018"/>
      <c r="K39" s="2018"/>
      <c r="L39" s="2019"/>
      <c r="M39" s="2020">
        <f t="shared" si="18"/>
        <v>0</v>
      </c>
      <c r="N39" s="2021">
        <f t="shared" si="19"/>
        <v>0</v>
      </c>
      <c r="O39" s="2020">
        <f t="shared" si="20"/>
        <v>0</v>
      </c>
      <c r="P39" s="4"/>
      <c r="Q39" s="1418">
        <f t="shared" si="21"/>
        <v>3.600000000000002</v>
      </c>
      <c r="R39" s="1420">
        <f t="shared" si="22"/>
        <v>102.05820000000006</v>
      </c>
      <c r="S39" s="562">
        <f t="shared" si="14"/>
        <v>0</v>
      </c>
      <c r="T39" s="282" t="s">
        <v>290</v>
      </c>
      <c r="U39" s="458"/>
      <c r="V39" s="93">
        <f aca="true" t="shared" si="24" ref="V39:V56">$I39*J39</f>
        <v>0</v>
      </c>
      <c r="W39" s="93">
        <f t="shared" si="23"/>
        <v>0</v>
      </c>
      <c r="X39" s="93">
        <f t="shared" si="23"/>
        <v>0</v>
      </c>
      <c r="Y39" s="93">
        <f t="shared" si="23"/>
        <v>0</v>
      </c>
      <c r="Z39" s="93">
        <f t="shared" si="23"/>
        <v>0</v>
      </c>
      <c r="AA39" s="93">
        <f t="shared" si="23"/>
        <v>0</v>
      </c>
      <c r="AB39" s="40"/>
      <c r="AC39" s="97">
        <f>C$102</f>
        <v>225</v>
      </c>
      <c r="AD39" s="97">
        <f>D$102</f>
        <v>0.62</v>
      </c>
      <c r="AE39" s="97">
        <f>E$102</f>
        <v>2.2</v>
      </c>
      <c r="AF39" s="98">
        <f t="shared" si="15"/>
        <v>0</v>
      </c>
      <c r="AG39" s="106">
        <f t="shared" si="16"/>
        <v>0</v>
      </c>
      <c r="AH39" s="78">
        <f t="shared" si="17"/>
        <v>0</v>
      </c>
      <c r="AI39" s="4"/>
      <c r="AJ39" s="1009" t="s">
        <v>1075</v>
      </c>
      <c r="AK39" s="1009" t="s">
        <v>1040</v>
      </c>
      <c r="AL39" s="1010" t="s">
        <v>1024</v>
      </c>
      <c r="AM39" s="1009" t="s">
        <v>1036</v>
      </c>
      <c r="AN39" s="1011">
        <v>74</v>
      </c>
      <c r="AO39" s="1011">
        <v>78</v>
      </c>
      <c r="AP39" s="1012">
        <f aca="true" t="shared" si="25" ref="AP39:AP49">(AN39+AO39)/2</f>
        <v>76</v>
      </c>
      <c r="AQ39" s="1022" t="s">
        <v>1076</v>
      </c>
      <c r="AR39" s="1013">
        <f aca="true" t="shared" si="26" ref="AR39:AR49">((AT45+40)*5/9)-40</f>
        <v>17.77777777777778</v>
      </c>
      <c r="AS39" s="1013">
        <f aca="true" t="shared" si="27" ref="AS39:AS49">((AU45+40)*5/9)-40</f>
        <v>26.66666666666667</v>
      </c>
      <c r="AT39" s="1014">
        <v>68</v>
      </c>
      <c r="AU39" s="1014">
        <v>75</v>
      </c>
    </row>
    <row r="40" spans="1:47" ht="14.25" customHeight="1">
      <c r="A40" s="2769"/>
      <c r="B40" s="2012" t="str">
        <f>B$103</f>
        <v>Extract (wet -light)</v>
      </c>
      <c r="C40" s="1834"/>
      <c r="D40" s="1834"/>
      <c r="E40" s="2107" t="str">
        <f t="shared" si="11"/>
        <v>0g</v>
      </c>
      <c r="F40" s="2110">
        <f t="shared" si="12"/>
        <v>0</v>
      </c>
      <c r="G40" s="2111">
        <f t="shared" si="13"/>
        <v>0</v>
      </c>
      <c r="H40" s="2142" t="s">
        <v>420</v>
      </c>
      <c r="I40" s="428">
        <v>7.5</v>
      </c>
      <c r="J40" s="2018"/>
      <c r="K40" s="2018"/>
      <c r="L40" s="2019"/>
      <c r="M40" s="2020">
        <f t="shared" si="18"/>
        <v>0</v>
      </c>
      <c r="N40" s="2021">
        <f t="shared" si="19"/>
        <v>0</v>
      </c>
      <c r="O40" s="2020">
        <f t="shared" si="20"/>
        <v>0</v>
      </c>
      <c r="P40" s="4"/>
      <c r="Q40" s="1418">
        <f t="shared" si="21"/>
        <v>3.700000000000002</v>
      </c>
      <c r="R40" s="1420">
        <f t="shared" si="22"/>
        <v>104.89315000000005</v>
      </c>
      <c r="S40" s="562">
        <f t="shared" si="14"/>
        <v>0</v>
      </c>
      <c r="T40" s="282" t="s">
        <v>290</v>
      </c>
      <c r="U40" s="458"/>
      <c r="V40" s="93">
        <f t="shared" si="24"/>
        <v>0</v>
      </c>
      <c r="W40" s="93">
        <f t="shared" si="23"/>
        <v>0</v>
      </c>
      <c r="X40" s="93">
        <f t="shared" si="23"/>
        <v>0</v>
      </c>
      <c r="Y40" s="93">
        <f t="shared" si="23"/>
        <v>0</v>
      </c>
      <c r="Z40" s="93">
        <f t="shared" si="23"/>
        <v>0</v>
      </c>
      <c r="AA40" s="93">
        <f t="shared" si="23"/>
        <v>0</v>
      </c>
      <c r="AB40" s="40"/>
      <c r="AC40" s="97">
        <f>C$103</f>
        <v>309.6052741383627</v>
      </c>
      <c r="AD40" s="97">
        <f>D$103</f>
        <v>0.62</v>
      </c>
      <c r="AE40" s="97">
        <f>E$103</f>
        <v>10</v>
      </c>
      <c r="AF40" s="98">
        <f t="shared" si="15"/>
        <v>0</v>
      </c>
      <c r="AG40" s="106">
        <f t="shared" si="16"/>
        <v>0</v>
      </c>
      <c r="AH40" s="78">
        <f t="shared" si="17"/>
        <v>0</v>
      </c>
      <c r="AI40" s="4"/>
      <c r="AJ40" s="1009" t="s">
        <v>1077</v>
      </c>
      <c r="AK40" s="1009" t="s">
        <v>1023</v>
      </c>
      <c r="AL40" s="1010" t="s">
        <v>1024</v>
      </c>
      <c r="AM40" s="1009" t="s">
        <v>1025</v>
      </c>
      <c r="AN40" s="1011">
        <v>78</v>
      </c>
      <c r="AO40" s="1011">
        <v>85</v>
      </c>
      <c r="AP40" s="1012">
        <f t="shared" si="25"/>
        <v>81.5</v>
      </c>
      <c r="AQ40" s="1006" t="s">
        <v>1029</v>
      </c>
      <c r="AR40" s="1013">
        <f t="shared" si="26"/>
        <v>18.888888888888886</v>
      </c>
      <c r="AS40" s="1013">
        <f t="shared" si="27"/>
        <v>22.22222222222222</v>
      </c>
      <c r="AT40" s="1014">
        <v>63</v>
      </c>
      <c r="AU40" s="1014">
        <v>75</v>
      </c>
    </row>
    <row r="41" spans="1:47" ht="14.25" customHeight="1">
      <c r="A41" s="2769"/>
      <c r="B41" s="2012" t="str">
        <f>B$104</f>
        <v>Extract (dry - extra light)</v>
      </c>
      <c r="C41" s="1834"/>
      <c r="D41" s="1834"/>
      <c r="E41" s="2107" t="str">
        <f t="shared" si="11"/>
        <v>0g</v>
      </c>
      <c r="F41" s="2110">
        <f t="shared" si="12"/>
        <v>0</v>
      </c>
      <c r="G41" s="2111">
        <f t="shared" si="13"/>
        <v>0</v>
      </c>
      <c r="H41" s="2142" t="s">
        <v>421</v>
      </c>
      <c r="I41" s="428">
        <v>5.5</v>
      </c>
      <c r="J41" s="2018"/>
      <c r="K41" s="2018"/>
      <c r="L41" s="2019"/>
      <c r="M41" s="2020">
        <f t="shared" si="18"/>
        <v>0</v>
      </c>
      <c r="N41" s="2021">
        <f t="shared" si="19"/>
        <v>0</v>
      </c>
      <c r="O41" s="2020">
        <f t="shared" si="20"/>
        <v>0</v>
      </c>
      <c r="P41" s="4"/>
      <c r="Q41" s="1418">
        <f t="shared" si="21"/>
        <v>3.800000000000002</v>
      </c>
      <c r="R41" s="1420">
        <f t="shared" si="22"/>
        <v>107.72810000000005</v>
      </c>
      <c r="S41" s="562">
        <f t="shared" si="14"/>
        <v>0</v>
      </c>
      <c r="T41" s="282" t="s">
        <v>290</v>
      </c>
      <c r="U41" s="458"/>
      <c r="V41" s="93">
        <f t="shared" si="24"/>
        <v>0</v>
      </c>
      <c r="W41" s="93">
        <f t="shared" si="23"/>
        <v>0</v>
      </c>
      <c r="X41" s="93">
        <f t="shared" si="23"/>
        <v>0</v>
      </c>
      <c r="Y41" s="93">
        <f t="shared" si="23"/>
        <v>0</v>
      </c>
      <c r="Z41" s="93">
        <f t="shared" si="23"/>
        <v>0</v>
      </c>
      <c r="AA41" s="93">
        <f t="shared" si="23"/>
        <v>0</v>
      </c>
      <c r="AB41" s="40"/>
      <c r="AC41" s="97">
        <f>C$104</f>
        <v>364.68330134357007</v>
      </c>
      <c r="AD41" s="97">
        <f>D$104</f>
        <v>0.62</v>
      </c>
      <c r="AE41" s="97">
        <f>E$104</f>
        <v>6</v>
      </c>
      <c r="AF41" s="98">
        <f t="shared" si="15"/>
        <v>0</v>
      </c>
      <c r="AG41" s="106">
        <f t="shared" si="16"/>
        <v>0</v>
      </c>
      <c r="AH41" s="78">
        <f t="shared" si="17"/>
        <v>0</v>
      </c>
      <c r="AI41" s="4"/>
      <c r="AJ41" s="1009" t="s">
        <v>1078</v>
      </c>
      <c r="AK41" s="1009" t="s">
        <v>1023</v>
      </c>
      <c r="AL41" s="1010" t="s">
        <v>1024</v>
      </c>
      <c r="AM41" s="1009" t="s">
        <v>1025</v>
      </c>
      <c r="AN41" s="1011">
        <v>74</v>
      </c>
      <c r="AO41" s="1011">
        <v>80</v>
      </c>
      <c r="AP41" s="1012">
        <f t="shared" si="25"/>
        <v>77</v>
      </c>
      <c r="AQ41" s="1006" t="s">
        <v>1038</v>
      </c>
      <c r="AR41" s="1013">
        <f t="shared" si="26"/>
        <v>20</v>
      </c>
      <c r="AS41" s="1013">
        <f t="shared" si="27"/>
        <v>23.888888888888886</v>
      </c>
      <c r="AT41" s="1014">
        <v>70</v>
      </c>
      <c r="AU41" s="1014">
        <v>95</v>
      </c>
    </row>
    <row r="42" spans="1:47" ht="14.25" customHeight="1">
      <c r="A42" s="2769"/>
      <c r="B42" s="2012" t="str">
        <f>B$105</f>
        <v>Black</v>
      </c>
      <c r="C42" s="1834"/>
      <c r="D42" s="1834">
        <v>3</v>
      </c>
      <c r="E42" s="2107" t="str">
        <f t="shared" si="11"/>
        <v>85g</v>
      </c>
      <c r="F42" s="2110">
        <f t="shared" si="12"/>
        <v>3.013392857142858</v>
      </c>
      <c r="G42" s="2111">
        <f t="shared" si="13"/>
        <v>2.457245060385752</v>
      </c>
      <c r="H42" s="2142" t="s">
        <v>422</v>
      </c>
      <c r="I42" s="428">
        <v>4.5</v>
      </c>
      <c r="J42" s="2018">
        <v>0.15</v>
      </c>
      <c r="K42" s="2018"/>
      <c r="L42" s="2019"/>
      <c r="M42" s="2020">
        <f t="shared" si="18"/>
        <v>0.15</v>
      </c>
      <c r="N42" s="2021">
        <f t="shared" si="19"/>
        <v>0</v>
      </c>
      <c r="O42" s="2020">
        <f t="shared" si="20"/>
        <v>0</v>
      </c>
      <c r="P42" s="4"/>
      <c r="Q42" s="1418">
        <f t="shared" si="21"/>
        <v>3.900000000000002</v>
      </c>
      <c r="R42" s="1420">
        <f t="shared" si="22"/>
        <v>110.56305000000006</v>
      </c>
      <c r="S42" s="562">
        <f t="shared" si="14"/>
        <v>85.05000000000001</v>
      </c>
      <c r="T42" s="282" t="s">
        <v>290</v>
      </c>
      <c r="U42" s="458"/>
      <c r="V42" s="93">
        <f t="shared" si="24"/>
        <v>0.6749999999999999</v>
      </c>
      <c r="W42" s="93">
        <f t="shared" si="23"/>
        <v>0</v>
      </c>
      <c r="X42" s="93">
        <f t="shared" si="23"/>
        <v>0</v>
      </c>
      <c r="Y42" s="93">
        <f t="shared" si="23"/>
        <v>0.6749999999999999</v>
      </c>
      <c r="Z42" s="93">
        <f t="shared" si="23"/>
        <v>0</v>
      </c>
      <c r="AA42" s="93">
        <f t="shared" si="23"/>
        <v>0</v>
      </c>
      <c r="AB42" s="40"/>
      <c r="AC42" s="97">
        <f>C$105</f>
        <v>194.25</v>
      </c>
      <c r="AD42" s="97">
        <f>D$105</f>
        <v>0.62</v>
      </c>
      <c r="AE42" s="97">
        <f>E$105</f>
        <v>908.8</v>
      </c>
      <c r="AF42" s="98">
        <f t="shared" si="15"/>
        <v>16.520962500000003</v>
      </c>
      <c r="AG42" s="106">
        <f t="shared" si="16"/>
        <v>10.242996750000001</v>
      </c>
      <c r="AH42" s="78">
        <f t="shared" si="17"/>
        <v>772.9344</v>
      </c>
      <c r="AI42" s="4"/>
      <c r="AJ42" s="1025" t="s">
        <v>1079</v>
      </c>
      <c r="AK42" s="1009" t="s">
        <v>1040</v>
      </c>
      <c r="AL42" s="1010" t="s">
        <v>1024</v>
      </c>
      <c r="AM42" s="1009" t="s">
        <v>1036</v>
      </c>
      <c r="AN42" s="1011">
        <v>70</v>
      </c>
      <c r="AO42" s="1011">
        <v>76</v>
      </c>
      <c r="AP42" s="1012">
        <f t="shared" si="25"/>
        <v>73</v>
      </c>
      <c r="AQ42" s="1022">
        <v>10</v>
      </c>
      <c r="AR42" s="1013">
        <f t="shared" si="26"/>
        <v>17.77777777777778</v>
      </c>
      <c r="AS42" s="1013">
        <f t="shared" si="27"/>
        <v>23.888888888888886</v>
      </c>
      <c r="AT42" s="1014">
        <v>68</v>
      </c>
      <c r="AU42" s="1014">
        <v>75</v>
      </c>
    </row>
    <row r="43" spans="1:47" ht="14.25" customHeight="1">
      <c r="A43" s="2769"/>
      <c r="B43" s="2012" t="str">
        <f>B$106</f>
        <v>Chocolate</v>
      </c>
      <c r="C43" s="1834"/>
      <c r="D43" s="1834"/>
      <c r="E43" s="2107" t="str">
        <f t="shared" si="11"/>
        <v>0g</v>
      </c>
      <c r="F43" s="2110">
        <f t="shared" si="12"/>
        <v>0</v>
      </c>
      <c r="G43" s="2111">
        <f t="shared" si="13"/>
        <v>0</v>
      </c>
      <c r="H43" s="2142" t="s">
        <v>423</v>
      </c>
      <c r="I43" s="428">
        <v>5.3</v>
      </c>
      <c r="J43" s="2018">
        <v>0.2</v>
      </c>
      <c r="K43" s="2018"/>
      <c r="L43" s="2019"/>
      <c r="M43" s="2020">
        <f t="shared" si="18"/>
        <v>0.2</v>
      </c>
      <c r="N43" s="2021">
        <f t="shared" si="19"/>
        <v>0</v>
      </c>
      <c r="O43" s="2020">
        <f t="shared" si="20"/>
        <v>0</v>
      </c>
      <c r="P43" s="4"/>
      <c r="Q43" s="1418">
        <f t="shared" si="21"/>
        <v>4.000000000000002</v>
      </c>
      <c r="R43" s="1420">
        <f t="shared" si="22"/>
        <v>113.39800000000005</v>
      </c>
      <c r="S43" s="562">
        <f t="shared" si="14"/>
        <v>0</v>
      </c>
      <c r="T43" s="282" t="s">
        <v>290</v>
      </c>
      <c r="U43" s="458"/>
      <c r="V43" s="93">
        <f t="shared" si="24"/>
        <v>1.06</v>
      </c>
      <c r="W43" s="93">
        <f t="shared" si="23"/>
        <v>0</v>
      </c>
      <c r="X43" s="93">
        <f t="shared" si="23"/>
        <v>0</v>
      </c>
      <c r="Y43" s="93">
        <f t="shared" si="23"/>
        <v>1.06</v>
      </c>
      <c r="Z43" s="93">
        <f t="shared" si="23"/>
        <v>0</v>
      </c>
      <c r="AA43" s="93">
        <f t="shared" si="23"/>
        <v>0</v>
      </c>
      <c r="AB43" s="40"/>
      <c r="AC43" s="97">
        <f>C$106</f>
        <v>213.75</v>
      </c>
      <c r="AD43" s="97">
        <f>D$106</f>
        <v>0.62</v>
      </c>
      <c r="AE43" s="97">
        <f>E$106</f>
        <v>763.2</v>
      </c>
      <c r="AF43" s="98">
        <f t="shared" si="15"/>
        <v>0</v>
      </c>
      <c r="AG43" s="106">
        <f t="shared" si="16"/>
        <v>0</v>
      </c>
      <c r="AH43" s="78">
        <f t="shared" si="17"/>
        <v>0</v>
      </c>
      <c r="AI43" s="4"/>
      <c r="AJ43" s="1009" t="s">
        <v>1080</v>
      </c>
      <c r="AK43" s="1009" t="s">
        <v>1040</v>
      </c>
      <c r="AL43" s="1010" t="s">
        <v>1024</v>
      </c>
      <c r="AM43" s="1009" t="s">
        <v>1025</v>
      </c>
      <c r="AN43" s="1011">
        <v>72</v>
      </c>
      <c r="AO43" s="1011">
        <v>76</v>
      </c>
      <c r="AP43" s="1012">
        <f t="shared" si="25"/>
        <v>74</v>
      </c>
      <c r="AQ43" s="1022">
        <v>12</v>
      </c>
      <c r="AR43" s="1013">
        <f t="shared" si="26"/>
        <v>17.77777777777778</v>
      </c>
      <c r="AS43" s="1013">
        <f t="shared" si="27"/>
        <v>23.333333333333336</v>
      </c>
      <c r="AT43" s="1014">
        <v>68</v>
      </c>
      <c r="AU43" s="1014">
        <v>78</v>
      </c>
    </row>
    <row r="44" spans="1:47" ht="14.25" customHeight="1">
      <c r="A44" s="2769"/>
      <c r="B44" s="2012" t="str">
        <f>B$107</f>
        <v>Crystal (light)</v>
      </c>
      <c r="C44" s="1834"/>
      <c r="D44" s="1834">
        <v>2</v>
      </c>
      <c r="E44" s="2107" t="str">
        <f t="shared" si="11"/>
        <v>57g</v>
      </c>
      <c r="F44" s="2110">
        <f t="shared" si="12"/>
        <v>2.008928571428572</v>
      </c>
      <c r="G44" s="2111">
        <f t="shared" si="13"/>
        <v>1.7899622962398138</v>
      </c>
      <c r="H44" s="2142" t="s">
        <v>298</v>
      </c>
      <c r="I44" s="428">
        <v>4.5</v>
      </c>
      <c r="J44" s="2018"/>
      <c r="K44" s="2018"/>
      <c r="L44" s="2019"/>
      <c r="M44" s="2020">
        <f t="shared" si="18"/>
        <v>0</v>
      </c>
      <c r="N44" s="2021">
        <f t="shared" si="19"/>
        <v>0</v>
      </c>
      <c r="O44" s="2020">
        <f t="shared" si="20"/>
        <v>0</v>
      </c>
      <c r="P44" s="4"/>
      <c r="Q44" s="1418">
        <f t="shared" si="21"/>
        <v>4.100000000000001</v>
      </c>
      <c r="R44" s="1420">
        <f t="shared" si="22"/>
        <v>116.23295000000003</v>
      </c>
      <c r="S44" s="562">
        <f t="shared" si="14"/>
        <v>56.7</v>
      </c>
      <c r="T44" s="282" t="s">
        <v>290</v>
      </c>
      <c r="U44" s="458"/>
      <c r="V44" s="93">
        <f t="shared" si="24"/>
        <v>0</v>
      </c>
      <c r="W44" s="93">
        <f t="shared" si="23"/>
        <v>0</v>
      </c>
      <c r="X44" s="93">
        <f t="shared" si="23"/>
        <v>0</v>
      </c>
      <c r="Y44" s="93">
        <f t="shared" si="23"/>
        <v>0</v>
      </c>
      <c r="Z44" s="93">
        <f t="shared" si="23"/>
        <v>0</v>
      </c>
      <c r="AA44" s="93">
        <f t="shared" si="23"/>
        <v>0</v>
      </c>
      <c r="AB44" s="40"/>
      <c r="AC44" s="97">
        <f>C$107</f>
        <v>212.25</v>
      </c>
      <c r="AD44" s="97">
        <f>D$107</f>
        <v>0.62</v>
      </c>
      <c r="AE44" s="97">
        <f>E$107</f>
        <v>77.7</v>
      </c>
      <c r="AF44" s="98">
        <f t="shared" si="15"/>
        <v>12.034575</v>
      </c>
      <c r="AG44" s="106">
        <f t="shared" si="16"/>
        <v>7.4614365000000005</v>
      </c>
      <c r="AH44" s="78">
        <f t="shared" si="17"/>
        <v>44.0559</v>
      </c>
      <c r="AI44" s="4"/>
      <c r="AJ44" s="1009" t="s">
        <v>1081</v>
      </c>
      <c r="AK44" s="1009" t="s">
        <v>1023</v>
      </c>
      <c r="AL44" s="1010" t="s">
        <v>1024</v>
      </c>
      <c r="AM44" s="1009" t="s">
        <v>1041</v>
      </c>
      <c r="AN44" s="1011">
        <v>74</v>
      </c>
      <c r="AO44" s="1011">
        <v>78</v>
      </c>
      <c r="AP44" s="1012">
        <f t="shared" si="25"/>
        <v>76</v>
      </c>
      <c r="AQ44" s="1006" t="s">
        <v>1026</v>
      </c>
      <c r="AR44" s="1013">
        <f t="shared" si="26"/>
        <v>19.444444444444443</v>
      </c>
      <c r="AS44" s="1013">
        <f t="shared" si="27"/>
        <v>23.333333333333336</v>
      </c>
      <c r="AT44" s="1014" t="s">
        <v>1074</v>
      </c>
      <c r="AU44" s="1014" t="s">
        <v>1074</v>
      </c>
    </row>
    <row r="45" spans="1:47" ht="14.25" customHeight="1">
      <c r="A45" s="2769"/>
      <c r="B45" s="2012" t="str">
        <f>B$108</f>
        <v>Crystal (medium)</v>
      </c>
      <c r="C45" s="1834"/>
      <c r="D45" s="1834"/>
      <c r="E45" s="2107" t="str">
        <f t="shared" si="11"/>
        <v>0g</v>
      </c>
      <c r="F45" s="2110">
        <f t="shared" si="12"/>
        <v>0</v>
      </c>
      <c r="G45" s="2111">
        <f t="shared" si="13"/>
        <v>0</v>
      </c>
      <c r="H45" s="2142" t="s">
        <v>297</v>
      </c>
      <c r="I45" s="428">
        <v>4.5</v>
      </c>
      <c r="J45" s="2018"/>
      <c r="K45" s="2018"/>
      <c r="L45" s="2019"/>
      <c r="M45" s="2020">
        <f t="shared" si="18"/>
        <v>0</v>
      </c>
      <c r="N45" s="2021">
        <f t="shared" si="19"/>
        <v>0</v>
      </c>
      <c r="O45" s="2020">
        <f t="shared" si="20"/>
        <v>0</v>
      </c>
      <c r="P45" s="4"/>
      <c r="Q45" s="1418">
        <f t="shared" si="21"/>
        <v>4.200000000000001</v>
      </c>
      <c r="R45" s="1420">
        <f t="shared" si="22"/>
        <v>119.06790000000002</v>
      </c>
      <c r="S45" s="562">
        <f t="shared" si="14"/>
        <v>0</v>
      </c>
      <c r="T45" s="282" t="s">
        <v>290</v>
      </c>
      <c r="U45" s="458"/>
      <c r="V45" s="93">
        <f t="shared" si="24"/>
        <v>0</v>
      </c>
      <c r="W45" s="93">
        <f t="shared" si="23"/>
        <v>0</v>
      </c>
      <c r="X45" s="93">
        <f t="shared" si="23"/>
        <v>0</v>
      </c>
      <c r="Y45" s="93">
        <f t="shared" si="23"/>
        <v>0</v>
      </c>
      <c r="Z45" s="93">
        <f t="shared" si="23"/>
        <v>0</v>
      </c>
      <c r="AA45" s="93">
        <f t="shared" si="23"/>
        <v>0</v>
      </c>
      <c r="AB45" s="40"/>
      <c r="AC45" s="97">
        <f>C$108</f>
        <v>204</v>
      </c>
      <c r="AD45" s="97">
        <f>D$108</f>
        <v>0.62</v>
      </c>
      <c r="AE45" s="97">
        <f>E$108</f>
        <v>103.6</v>
      </c>
      <c r="AF45" s="98">
        <f t="shared" si="15"/>
        <v>0</v>
      </c>
      <c r="AG45" s="106">
        <f t="shared" si="16"/>
        <v>0</v>
      </c>
      <c r="AH45" s="78">
        <f t="shared" si="17"/>
        <v>0</v>
      </c>
      <c r="AI45" s="4"/>
      <c r="AJ45" s="1009" t="s">
        <v>1082</v>
      </c>
      <c r="AK45" s="1009" t="s">
        <v>1023</v>
      </c>
      <c r="AL45" s="1010" t="s">
        <v>1024</v>
      </c>
      <c r="AM45" s="1009" t="s">
        <v>1041</v>
      </c>
      <c r="AN45" s="1011">
        <v>70</v>
      </c>
      <c r="AO45" s="1011">
        <v>75</v>
      </c>
      <c r="AP45" s="1012">
        <f t="shared" si="25"/>
        <v>72.5</v>
      </c>
      <c r="AQ45" s="1006" t="s">
        <v>1026</v>
      </c>
      <c r="AR45" s="1013">
        <f t="shared" si="26"/>
        <v>19.444444444444443</v>
      </c>
      <c r="AS45" s="1013">
        <f t="shared" si="27"/>
        <v>23.333333333333336</v>
      </c>
      <c r="AT45" s="1014">
        <v>64</v>
      </c>
      <c r="AU45" s="1014">
        <v>80</v>
      </c>
    </row>
    <row r="46" spans="1:47" ht="14.25" customHeight="1">
      <c r="A46" s="2769"/>
      <c r="B46" s="2012" t="str">
        <f aca="true" t="shared" si="28" ref="B46:B51">B109</f>
        <v>Crystal (dark)</v>
      </c>
      <c r="C46" s="1834"/>
      <c r="D46" s="1834"/>
      <c r="E46" s="2107" t="str">
        <f t="shared" si="11"/>
        <v>0g</v>
      </c>
      <c r="F46" s="2110">
        <f t="shared" si="12"/>
        <v>0</v>
      </c>
      <c r="G46" s="2111">
        <f t="shared" si="13"/>
        <v>0</v>
      </c>
      <c r="H46" s="2142" t="s">
        <v>424</v>
      </c>
      <c r="I46" s="428">
        <v>7.5</v>
      </c>
      <c r="J46" s="2018"/>
      <c r="K46" s="2018"/>
      <c r="L46" s="2019"/>
      <c r="M46" s="2020">
        <f t="shared" si="18"/>
        <v>0</v>
      </c>
      <c r="N46" s="2021">
        <f t="shared" si="19"/>
        <v>0</v>
      </c>
      <c r="O46" s="2020">
        <f t="shared" si="20"/>
        <v>0</v>
      </c>
      <c r="P46" s="4"/>
      <c r="Q46" s="1418">
        <f t="shared" si="21"/>
        <v>4.300000000000001</v>
      </c>
      <c r="R46" s="1420">
        <f t="shared" si="22"/>
        <v>121.90285000000002</v>
      </c>
      <c r="S46" s="562">
        <f t="shared" si="14"/>
        <v>0</v>
      </c>
      <c r="T46" s="282" t="s">
        <v>290</v>
      </c>
      <c r="U46" s="458"/>
      <c r="V46" s="93">
        <f t="shared" si="24"/>
        <v>0</v>
      </c>
      <c r="W46" s="93">
        <f t="shared" si="23"/>
        <v>0</v>
      </c>
      <c r="X46" s="93">
        <f t="shared" si="23"/>
        <v>0</v>
      </c>
      <c r="Y46" s="93">
        <f t="shared" si="23"/>
        <v>0</v>
      </c>
      <c r="Z46" s="93">
        <f t="shared" si="23"/>
        <v>0</v>
      </c>
      <c r="AA46" s="93">
        <f t="shared" si="23"/>
        <v>0</v>
      </c>
      <c r="AC46" s="343">
        <f>C$109</f>
        <v>203.25</v>
      </c>
      <c r="AD46" s="97">
        <f aca="true" t="shared" si="29" ref="AD46:AE48">D109</f>
        <v>0.62</v>
      </c>
      <c r="AE46" s="343">
        <f t="shared" si="29"/>
        <v>148</v>
      </c>
      <c r="AF46" s="98">
        <f t="shared" si="15"/>
        <v>0</v>
      </c>
      <c r="AG46" s="106">
        <f t="shared" si="16"/>
        <v>0</v>
      </c>
      <c r="AH46" s="78">
        <f t="shared" si="17"/>
        <v>0</v>
      </c>
      <c r="AI46" s="4"/>
      <c r="AJ46" s="1009" t="s">
        <v>1083</v>
      </c>
      <c r="AK46" s="1009" t="s">
        <v>1040</v>
      </c>
      <c r="AL46" s="1010" t="s">
        <v>1024</v>
      </c>
      <c r="AM46" s="1009" t="s">
        <v>1025</v>
      </c>
      <c r="AN46" s="1011">
        <v>72</v>
      </c>
      <c r="AO46" s="1011">
        <v>76</v>
      </c>
      <c r="AP46" s="1012">
        <f t="shared" si="25"/>
        <v>74</v>
      </c>
      <c r="AQ46" s="1022" t="s">
        <v>891</v>
      </c>
      <c r="AR46" s="1013">
        <f t="shared" si="26"/>
        <v>16.666666666666664</v>
      </c>
      <c r="AS46" s="1013">
        <f t="shared" si="27"/>
        <v>23.888888888888886</v>
      </c>
      <c r="AT46" s="1014">
        <v>66</v>
      </c>
      <c r="AU46" s="1014">
        <v>72</v>
      </c>
    </row>
    <row r="47" spans="1:47" ht="14.25" customHeight="1">
      <c r="A47" s="2769"/>
      <c r="B47" s="2012" t="str">
        <f t="shared" si="28"/>
        <v>Flaked maize</v>
      </c>
      <c r="C47" s="1834"/>
      <c r="D47" s="1834"/>
      <c r="E47" s="2107" t="str">
        <f t="shared" si="11"/>
        <v>0g</v>
      </c>
      <c r="F47" s="2110">
        <f t="shared" si="12"/>
        <v>0</v>
      </c>
      <c r="G47" s="2111">
        <f t="shared" si="13"/>
        <v>0</v>
      </c>
      <c r="H47" s="2142" t="s">
        <v>425</v>
      </c>
      <c r="I47" s="428">
        <v>9.25</v>
      </c>
      <c r="J47" s="2018"/>
      <c r="K47" s="2018"/>
      <c r="L47" s="2019"/>
      <c r="M47" s="2020">
        <f t="shared" si="18"/>
        <v>0</v>
      </c>
      <c r="N47" s="2021">
        <f t="shared" si="19"/>
        <v>0</v>
      </c>
      <c r="O47" s="2020">
        <f t="shared" si="20"/>
        <v>0</v>
      </c>
      <c r="P47" s="4"/>
      <c r="Q47" s="1418">
        <f t="shared" si="21"/>
        <v>4.4</v>
      </c>
      <c r="R47" s="1420">
        <f t="shared" si="22"/>
        <v>124.73780000000001</v>
      </c>
      <c r="S47" s="562">
        <f t="shared" si="14"/>
        <v>0</v>
      </c>
      <c r="T47" s="282" t="s">
        <v>290</v>
      </c>
      <c r="U47" s="458"/>
      <c r="V47" s="93">
        <f t="shared" si="24"/>
        <v>0</v>
      </c>
      <c r="W47" s="93">
        <f t="shared" si="23"/>
        <v>0</v>
      </c>
      <c r="X47" s="93">
        <f t="shared" si="23"/>
        <v>0</v>
      </c>
      <c r="Y47" s="93">
        <f t="shared" si="23"/>
        <v>0</v>
      </c>
      <c r="Z47" s="93">
        <f t="shared" si="23"/>
        <v>0</v>
      </c>
      <c r="AA47" s="93">
        <f t="shared" si="23"/>
        <v>0</v>
      </c>
      <c r="AB47" s="40"/>
      <c r="AC47" s="343">
        <f>C$110</f>
        <v>234.75</v>
      </c>
      <c r="AD47" s="97">
        <f t="shared" si="29"/>
        <v>0.62</v>
      </c>
      <c r="AE47" s="343">
        <f t="shared" si="29"/>
        <v>0.71</v>
      </c>
      <c r="AF47" s="98">
        <f t="shared" si="15"/>
        <v>0</v>
      </c>
      <c r="AG47" s="106">
        <f t="shared" si="16"/>
        <v>0</v>
      </c>
      <c r="AH47" s="78">
        <f t="shared" si="17"/>
        <v>0</v>
      </c>
      <c r="AI47" s="4"/>
      <c r="AJ47" s="1009" t="s">
        <v>1084</v>
      </c>
      <c r="AK47" s="1009" t="s">
        <v>1023</v>
      </c>
      <c r="AL47" s="1010" t="s">
        <v>1024</v>
      </c>
      <c r="AM47" s="1009" t="s">
        <v>1025</v>
      </c>
      <c r="AN47" s="1024">
        <v>73</v>
      </c>
      <c r="AO47" s="1011">
        <v>80</v>
      </c>
      <c r="AP47" s="1012">
        <f t="shared" si="25"/>
        <v>76.5</v>
      </c>
      <c r="AQ47" s="1029" t="s">
        <v>1026</v>
      </c>
      <c r="AR47" s="1013">
        <f t="shared" si="26"/>
        <v>20</v>
      </c>
      <c r="AS47" s="1017">
        <f t="shared" si="27"/>
        <v>22.22222222222222</v>
      </c>
      <c r="AT47" s="1014">
        <v>68</v>
      </c>
      <c r="AU47" s="1014">
        <v>75</v>
      </c>
    </row>
    <row r="48" spans="1:47" ht="14.25" customHeight="1">
      <c r="A48" s="2769"/>
      <c r="B48" s="2012" t="str">
        <f t="shared" si="28"/>
        <v>Wheat flour</v>
      </c>
      <c r="C48" s="1834"/>
      <c r="D48" s="1834"/>
      <c r="E48" s="2107" t="str">
        <f t="shared" si="11"/>
        <v>0g</v>
      </c>
      <c r="F48" s="2110">
        <f t="shared" si="12"/>
        <v>0</v>
      </c>
      <c r="G48" s="2111">
        <f t="shared" si="13"/>
        <v>0</v>
      </c>
      <c r="H48" s="2142" t="s">
        <v>426</v>
      </c>
      <c r="I48" s="428">
        <v>6.2</v>
      </c>
      <c r="J48" s="2018"/>
      <c r="K48" s="2018"/>
      <c r="L48" s="2019"/>
      <c r="M48" s="2020">
        <f t="shared" si="18"/>
        <v>0</v>
      </c>
      <c r="N48" s="2021">
        <f t="shared" si="19"/>
        <v>0</v>
      </c>
      <c r="O48" s="2020">
        <f t="shared" si="20"/>
        <v>0</v>
      </c>
      <c r="P48" s="4"/>
      <c r="Q48" s="1418">
        <f t="shared" si="21"/>
        <v>4.5</v>
      </c>
      <c r="R48" s="1420">
        <f t="shared" si="22"/>
        <v>127.57275</v>
      </c>
      <c r="S48" s="562">
        <f t="shared" si="14"/>
        <v>0</v>
      </c>
      <c r="T48" s="282" t="s">
        <v>290</v>
      </c>
      <c r="U48" s="458"/>
      <c r="V48" s="93">
        <f t="shared" si="24"/>
        <v>0</v>
      </c>
      <c r="W48" s="93">
        <f t="shared" si="23"/>
        <v>0</v>
      </c>
      <c r="X48" s="93">
        <f t="shared" si="23"/>
        <v>0</v>
      </c>
      <c r="Y48" s="93">
        <f t="shared" si="23"/>
        <v>0</v>
      </c>
      <c r="Z48" s="93">
        <f t="shared" si="23"/>
        <v>0</v>
      </c>
      <c r="AA48" s="93">
        <f t="shared" si="23"/>
        <v>0</v>
      </c>
      <c r="AB48" s="40"/>
      <c r="AC48" s="343">
        <f aca="true" t="shared" si="30" ref="AC48:AC54">C111</f>
        <v>228</v>
      </c>
      <c r="AD48" s="97">
        <f t="shared" si="29"/>
        <v>0.62</v>
      </c>
      <c r="AE48" s="343">
        <f t="shared" si="29"/>
        <v>0</v>
      </c>
      <c r="AF48" s="98">
        <f t="shared" si="15"/>
        <v>0</v>
      </c>
      <c r="AG48" s="106">
        <f t="shared" si="16"/>
        <v>0</v>
      </c>
      <c r="AH48" s="78">
        <f t="shared" si="17"/>
        <v>0</v>
      </c>
      <c r="AI48" s="4"/>
      <c r="AJ48" s="1025" t="s">
        <v>1085</v>
      </c>
      <c r="AK48" s="1009" t="s">
        <v>1040</v>
      </c>
      <c r="AL48" s="1010" t="s">
        <v>1024</v>
      </c>
      <c r="AM48" s="1009" t="s">
        <v>1036</v>
      </c>
      <c r="AN48" s="1011">
        <v>74</v>
      </c>
      <c r="AO48" s="1011">
        <v>79</v>
      </c>
      <c r="AP48" s="1012">
        <f t="shared" si="25"/>
        <v>76.5</v>
      </c>
      <c r="AQ48" s="1022">
        <v>12</v>
      </c>
      <c r="AR48" s="1013">
        <f t="shared" si="26"/>
        <v>21.111111111111114</v>
      </c>
      <c r="AS48" s="1013">
        <f t="shared" si="27"/>
        <v>26.111111111111114</v>
      </c>
      <c r="AT48" s="1014">
        <v>64</v>
      </c>
      <c r="AU48" s="1014">
        <v>75</v>
      </c>
    </row>
    <row r="49" spans="1:47" ht="14.25" customHeight="1">
      <c r="A49" s="2769"/>
      <c r="B49" s="2012" t="str">
        <f t="shared" si="28"/>
        <v>Roast barley</v>
      </c>
      <c r="C49" s="1834"/>
      <c r="D49" s="1834"/>
      <c r="E49" s="2107" t="str">
        <f t="shared" si="11"/>
        <v>0g</v>
      </c>
      <c r="F49" s="2110">
        <f t="shared" si="12"/>
        <v>0</v>
      </c>
      <c r="G49" s="2111">
        <f t="shared" si="13"/>
        <v>0</v>
      </c>
      <c r="H49" s="2142" t="s">
        <v>427</v>
      </c>
      <c r="I49" s="428">
        <v>2.2</v>
      </c>
      <c r="J49" s="2018"/>
      <c r="K49" s="2018"/>
      <c r="L49" s="2019"/>
      <c r="M49" s="2020">
        <f t="shared" si="18"/>
        <v>0</v>
      </c>
      <c r="N49" s="2021">
        <f t="shared" si="19"/>
        <v>0</v>
      </c>
      <c r="O49" s="2020">
        <f>L49</f>
        <v>0</v>
      </c>
      <c r="P49" s="4"/>
      <c r="Q49" s="1418">
        <f t="shared" si="21"/>
        <v>4.6</v>
      </c>
      <c r="R49" s="1420">
        <f t="shared" si="22"/>
        <v>130.40769999999998</v>
      </c>
      <c r="S49" s="562">
        <f t="shared" si="14"/>
        <v>0</v>
      </c>
      <c r="T49" s="282" t="s">
        <v>290</v>
      </c>
      <c r="U49" s="458"/>
      <c r="V49" s="93">
        <f t="shared" si="24"/>
        <v>0</v>
      </c>
      <c r="W49" s="93">
        <f t="shared" si="23"/>
        <v>0</v>
      </c>
      <c r="X49" s="93">
        <f t="shared" si="23"/>
        <v>0</v>
      </c>
      <c r="Y49" s="93">
        <f t="shared" si="23"/>
        <v>0</v>
      </c>
      <c r="Z49" s="93">
        <f t="shared" si="23"/>
        <v>0</v>
      </c>
      <c r="AA49" s="93">
        <f t="shared" si="23"/>
        <v>0</v>
      </c>
      <c r="AC49" s="343">
        <f t="shared" si="30"/>
        <v>207</v>
      </c>
      <c r="AD49" s="97">
        <f aca="true" t="shared" si="31" ref="AD49:AE54">D112</f>
        <v>0.62</v>
      </c>
      <c r="AE49" s="343">
        <f t="shared" si="31"/>
        <v>902.8</v>
      </c>
      <c r="AF49" s="98">
        <f t="shared" si="15"/>
        <v>0</v>
      </c>
      <c r="AG49" s="106">
        <f t="shared" si="16"/>
        <v>0</v>
      </c>
      <c r="AH49" s="78">
        <f t="shared" si="17"/>
        <v>0</v>
      </c>
      <c r="AI49" s="4"/>
      <c r="AJ49" s="1009" t="s">
        <v>1086</v>
      </c>
      <c r="AK49" s="1009" t="s">
        <v>1040</v>
      </c>
      <c r="AL49" s="1010" t="s">
        <v>1024</v>
      </c>
      <c r="AM49" s="1009" t="s">
        <v>1061</v>
      </c>
      <c r="AN49" s="1011">
        <v>73</v>
      </c>
      <c r="AO49" s="1011">
        <v>77</v>
      </c>
      <c r="AP49" s="1012">
        <f t="shared" si="25"/>
        <v>75</v>
      </c>
      <c r="AQ49" s="1022">
        <v>9</v>
      </c>
      <c r="AR49" s="1013">
        <f t="shared" si="26"/>
        <v>7.222222222222221</v>
      </c>
      <c r="AS49" s="1013">
        <f t="shared" si="27"/>
        <v>20</v>
      </c>
      <c r="AT49" s="1014">
        <v>64</v>
      </c>
      <c r="AU49" s="1014">
        <v>74</v>
      </c>
    </row>
    <row r="50" spans="1:47" ht="14.25" customHeight="1">
      <c r="A50" s="2769"/>
      <c r="B50" s="2012" t="str">
        <f t="shared" si="28"/>
        <v>Flaked/Torrified barley </v>
      </c>
      <c r="C50" s="1834"/>
      <c r="D50" s="1834"/>
      <c r="E50" s="2107" t="str">
        <f t="shared" si="11"/>
        <v>0g</v>
      </c>
      <c r="F50" s="2110">
        <f t="shared" si="12"/>
        <v>0</v>
      </c>
      <c r="G50" s="2111">
        <f t="shared" si="13"/>
        <v>0</v>
      </c>
      <c r="H50" s="2142" t="s">
        <v>428</v>
      </c>
      <c r="I50" s="428">
        <v>4.5</v>
      </c>
      <c r="J50" s="2018"/>
      <c r="K50" s="2018"/>
      <c r="L50" s="2019"/>
      <c r="M50" s="2020">
        <f t="shared" si="18"/>
        <v>0</v>
      </c>
      <c r="N50" s="2021">
        <f t="shared" si="19"/>
        <v>0</v>
      </c>
      <c r="O50" s="2020">
        <f t="shared" si="20"/>
        <v>0</v>
      </c>
      <c r="P50" s="4"/>
      <c r="Q50" s="1418">
        <f t="shared" si="21"/>
        <v>4.699999999999999</v>
      </c>
      <c r="R50" s="1420">
        <f t="shared" si="22"/>
        <v>133.24264999999997</v>
      </c>
      <c r="S50" s="562">
        <f t="shared" si="14"/>
        <v>0</v>
      </c>
      <c r="T50" s="282" t="s">
        <v>290</v>
      </c>
      <c r="U50" s="458"/>
      <c r="V50" s="93">
        <f t="shared" si="24"/>
        <v>0</v>
      </c>
      <c r="W50" s="93">
        <f t="shared" si="23"/>
        <v>0</v>
      </c>
      <c r="X50" s="93">
        <f t="shared" si="23"/>
        <v>0</v>
      </c>
      <c r="Y50" s="93">
        <f t="shared" si="23"/>
        <v>0</v>
      </c>
      <c r="Z50" s="93">
        <f t="shared" si="23"/>
        <v>0</v>
      </c>
      <c r="AA50" s="93">
        <f t="shared" si="23"/>
        <v>0</v>
      </c>
      <c r="AC50" s="343">
        <f t="shared" si="30"/>
        <v>195</v>
      </c>
      <c r="AD50" s="97">
        <f t="shared" si="31"/>
        <v>0.62</v>
      </c>
      <c r="AE50" s="343">
        <f t="shared" si="31"/>
        <v>2.13</v>
      </c>
      <c r="AF50" s="98">
        <f t="shared" si="15"/>
        <v>0</v>
      </c>
      <c r="AG50" s="106">
        <f t="shared" si="16"/>
        <v>0</v>
      </c>
      <c r="AH50" s="78">
        <f t="shared" si="17"/>
        <v>0</v>
      </c>
      <c r="AI50" s="4"/>
      <c r="AJ50" s="1009" t="s">
        <v>1087</v>
      </c>
      <c r="AK50" s="1009" t="s">
        <v>1023</v>
      </c>
      <c r="AL50" s="1010" t="s">
        <v>1024</v>
      </c>
      <c r="AM50" s="1009" t="s">
        <v>1074</v>
      </c>
      <c r="AN50" s="1020" t="s">
        <v>1074</v>
      </c>
      <c r="AO50" s="1020" t="s">
        <v>1074</v>
      </c>
      <c r="AP50" s="1021" t="s">
        <v>1074</v>
      </c>
      <c r="AQ50" s="1022" t="s">
        <v>1074</v>
      </c>
      <c r="AR50" s="1013" t="s">
        <v>1074</v>
      </c>
      <c r="AS50" s="1013" t="s">
        <v>1074</v>
      </c>
      <c r="AT50" s="1014">
        <v>67</v>
      </c>
      <c r="AU50" s="1014">
        <v>74</v>
      </c>
    </row>
    <row r="51" spans="1:47" ht="14.25" customHeight="1">
      <c r="A51" s="2769"/>
      <c r="B51" s="2012" t="str">
        <f t="shared" si="28"/>
        <v>Oats</v>
      </c>
      <c r="C51" s="1834"/>
      <c r="D51" s="1834"/>
      <c r="E51" s="2107" t="str">
        <f t="shared" si="11"/>
        <v>0g</v>
      </c>
      <c r="F51" s="2110">
        <f t="shared" si="12"/>
        <v>0</v>
      </c>
      <c r="G51" s="2111">
        <f t="shared" si="13"/>
        <v>0</v>
      </c>
      <c r="H51" s="2142" t="s">
        <v>430</v>
      </c>
      <c r="I51" s="428">
        <v>11.2</v>
      </c>
      <c r="J51" s="2018"/>
      <c r="K51" s="2018"/>
      <c r="L51" s="2019"/>
      <c r="M51" s="2020">
        <f t="shared" si="18"/>
        <v>0</v>
      </c>
      <c r="N51" s="2021">
        <f t="shared" si="19"/>
        <v>0</v>
      </c>
      <c r="O51" s="2020">
        <f t="shared" si="20"/>
        <v>0</v>
      </c>
      <c r="P51" s="4"/>
      <c r="Q51" s="1418">
        <f t="shared" si="21"/>
        <v>4.799999999999999</v>
      </c>
      <c r="R51" s="1420">
        <f t="shared" si="22"/>
        <v>136.07759999999996</v>
      </c>
      <c r="S51" s="562">
        <f t="shared" si="14"/>
        <v>0</v>
      </c>
      <c r="T51" s="282" t="s">
        <v>290</v>
      </c>
      <c r="U51" s="458"/>
      <c r="V51" s="93">
        <f t="shared" si="24"/>
        <v>0</v>
      </c>
      <c r="W51" s="93">
        <f t="shared" si="23"/>
        <v>0</v>
      </c>
      <c r="X51" s="93">
        <f t="shared" si="23"/>
        <v>0</v>
      </c>
      <c r="Y51" s="93">
        <f t="shared" si="23"/>
        <v>0</v>
      </c>
      <c r="Z51" s="93">
        <f t="shared" si="23"/>
        <v>0</v>
      </c>
      <c r="AA51" s="93">
        <f t="shared" si="23"/>
        <v>0</v>
      </c>
      <c r="AC51" s="343">
        <f t="shared" si="30"/>
        <v>183.75</v>
      </c>
      <c r="AD51" s="97">
        <f t="shared" si="31"/>
        <v>0.62</v>
      </c>
      <c r="AE51" s="343">
        <f t="shared" si="31"/>
        <v>1.065</v>
      </c>
      <c r="AF51" s="98">
        <f t="shared" si="15"/>
        <v>0</v>
      </c>
      <c r="AG51" s="106">
        <f t="shared" si="16"/>
        <v>0</v>
      </c>
      <c r="AH51" s="78">
        <f t="shared" si="17"/>
        <v>0</v>
      </c>
      <c r="AI51" s="4"/>
      <c r="AJ51" s="1009" t="s">
        <v>1088</v>
      </c>
      <c r="AK51" s="1009" t="s">
        <v>1023</v>
      </c>
      <c r="AL51" s="1010" t="s">
        <v>1024</v>
      </c>
      <c r="AM51" s="1009" t="s">
        <v>1074</v>
      </c>
      <c r="AN51" s="1020" t="s">
        <v>1074</v>
      </c>
      <c r="AO51" s="1020" t="s">
        <v>1074</v>
      </c>
      <c r="AP51" s="1021" t="s">
        <v>1074</v>
      </c>
      <c r="AQ51" s="1022" t="s">
        <v>1074</v>
      </c>
      <c r="AR51" s="1013" t="s">
        <v>1074</v>
      </c>
      <c r="AS51" s="1013" t="s">
        <v>1074</v>
      </c>
      <c r="AT51" s="1014">
        <v>67</v>
      </c>
      <c r="AU51" s="1014">
        <v>74</v>
      </c>
    </row>
    <row r="52" spans="1:47" ht="14.25" customHeight="1">
      <c r="A52" s="2770" t="s">
        <v>407</v>
      </c>
      <c r="B52" s="2012" t="str">
        <f>B$115</f>
        <v>Cane sugar</v>
      </c>
      <c r="C52" s="1834"/>
      <c r="D52" s="1834">
        <v>7</v>
      </c>
      <c r="E52" s="2107" t="str">
        <f t="shared" si="11"/>
        <v>198g</v>
      </c>
      <c r="F52" s="2110">
        <f t="shared" si="12"/>
        <v>7.031250000000002</v>
      </c>
      <c r="G52" s="2111">
        <f t="shared" si="13"/>
        <v>11.068671443179062</v>
      </c>
      <c r="H52" s="2142" t="s">
        <v>262</v>
      </c>
      <c r="I52" s="428">
        <v>5</v>
      </c>
      <c r="J52" s="2018"/>
      <c r="K52" s="2018"/>
      <c r="L52" s="2019"/>
      <c r="M52" s="2020">
        <f t="shared" si="18"/>
        <v>0</v>
      </c>
      <c r="N52" s="2021">
        <f t="shared" si="19"/>
        <v>0</v>
      </c>
      <c r="O52" s="2020">
        <f t="shared" si="20"/>
        <v>0</v>
      </c>
      <c r="P52" s="4"/>
      <c r="Q52" s="1418">
        <f t="shared" si="21"/>
        <v>4.899999999999999</v>
      </c>
      <c r="R52" s="1420">
        <f t="shared" si="22"/>
        <v>138.91254999999995</v>
      </c>
      <c r="S52" s="562">
        <f t="shared" si="14"/>
        <v>198.45000000000002</v>
      </c>
      <c r="T52" s="282" t="s">
        <v>290</v>
      </c>
      <c r="U52" s="458"/>
      <c r="V52" s="93">
        <f t="shared" si="24"/>
        <v>0</v>
      </c>
      <c r="W52" s="93">
        <f t="shared" si="23"/>
        <v>0</v>
      </c>
      <c r="X52" s="93">
        <f t="shared" si="23"/>
        <v>0</v>
      </c>
      <c r="Y52" s="93">
        <f t="shared" si="23"/>
        <v>0</v>
      </c>
      <c r="Z52" s="93">
        <f t="shared" si="23"/>
        <v>0</v>
      </c>
      <c r="AA52" s="93">
        <f t="shared" si="23"/>
        <v>0</v>
      </c>
      <c r="AB52" s="468" t="s">
        <v>86</v>
      </c>
      <c r="AC52" s="469">
        <f t="shared" si="30"/>
        <v>375</v>
      </c>
      <c r="AD52" s="470">
        <f t="shared" si="31"/>
        <v>1</v>
      </c>
      <c r="AE52" s="343">
        <f t="shared" si="31"/>
        <v>0</v>
      </c>
      <c r="AF52" s="98">
        <f t="shared" si="15"/>
        <v>74.41875</v>
      </c>
      <c r="AG52" s="106">
        <f>AF52*$AD52</f>
        <v>74.41875</v>
      </c>
      <c r="AH52" s="78">
        <f t="shared" si="17"/>
        <v>0</v>
      </c>
      <c r="AI52" s="4"/>
      <c r="AJ52" s="1009" t="s">
        <v>1089</v>
      </c>
      <c r="AK52" s="1009" t="s">
        <v>1040</v>
      </c>
      <c r="AL52" s="1010" t="s">
        <v>1024</v>
      </c>
      <c r="AM52" s="1009" t="s">
        <v>1025</v>
      </c>
      <c r="AN52" s="1020"/>
      <c r="AO52" s="1020"/>
      <c r="AP52" s="1021" t="s">
        <v>1090</v>
      </c>
      <c r="AQ52" s="1022">
        <v>12</v>
      </c>
      <c r="AR52" s="1013">
        <f>((AT58+40)*5/9)-40</f>
        <v>15.555555555555557</v>
      </c>
      <c r="AS52" s="1013">
        <f>((AU58+40)*5/9)-40</f>
        <v>23.888888888888886</v>
      </c>
      <c r="AT52" s="1014">
        <v>62</v>
      </c>
      <c r="AU52" s="1014">
        <v>75</v>
      </c>
    </row>
    <row r="53" spans="1:47" ht="14.25" customHeight="1">
      <c r="A53" s="2770"/>
      <c r="B53" s="2012" t="str">
        <f>B$116</f>
        <v>Brown sugar (light)</v>
      </c>
      <c r="C53" s="1834"/>
      <c r="D53" s="1834"/>
      <c r="E53" s="2107" t="str">
        <f t="shared" si="11"/>
        <v>0g</v>
      </c>
      <c r="F53" s="2110">
        <f t="shared" si="12"/>
        <v>0</v>
      </c>
      <c r="G53" s="2111">
        <f t="shared" si="13"/>
        <v>0</v>
      </c>
      <c r="H53" s="2142" t="s">
        <v>432</v>
      </c>
      <c r="I53" s="428">
        <v>6.3</v>
      </c>
      <c r="J53" s="2018">
        <v>1.15</v>
      </c>
      <c r="K53" s="2018"/>
      <c r="L53" s="2019"/>
      <c r="M53" s="2020">
        <f t="shared" si="18"/>
        <v>1.15</v>
      </c>
      <c r="N53" s="2021">
        <f t="shared" si="19"/>
        <v>0</v>
      </c>
      <c r="O53" s="2020">
        <f t="shared" si="20"/>
        <v>0</v>
      </c>
      <c r="P53" s="4"/>
      <c r="Q53" s="1418">
        <f t="shared" si="21"/>
        <v>4.999999999999998</v>
      </c>
      <c r="R53" s="1420">
        <f t="shared" si="22"/>
        <v>141.74749999999995</v>
      </c>
      <c r="S53" s="562">
        <f t="shared" si="14"/>
        <v>0</v>
      </c>
      <c r="T53" s="282" t="s">
        <v>290</v>
      </c>
      <c r="U53" s="458"/>
      <c r="V53" s="93">
        <f t="shared" si="24"/>
        <v>7.244999999999999</v>
      </c>
      <c r="W53" s="93">
        <f t="shared" si="23"/>
        <v>0</v>
      </c>
      <c r="X53" s="93">
        <f t="shared" si="23"/>
        <v>0</v>
      </c>
      <c r="Y53" s="93">
        <f t="shared" si="23"/>
        <v>7.244999999999999</v>
      </c>
      <c r="Z53" s="93">
        <f t="shared" si="23"/>
        <v>0</v>
      </c>
      <c r="AA53" s="93">
        <f t="shared" si="23"/>
        <v>0</v>
      </c>
      <c r="AB53" s="468" t="s">
        <v>86</v>
      </c>
      <c r="AC53" s="469">
        <f t="shared" si="30"/>
        <v>370</v>
      </c>
      <c r="AD53" s="470">
        <f t="shared" si="31"/>
        <v>1</v>
      </c>
      <c r="AE53" s="343">
        <f t="shared" si="31"/>
        <v>16</v>
      </c>
      <c r="AF53" s="98">
        <f t="shared" si="15"/>
        <v>0</v>
      </c>
      <c r="AG53" s="106">
        <f>AF53*$AD53</f>
        <v>0</v>
      </c>
      <c r="AH53" s="78">
        <f t="shared" si="17"/>
        <v>0</v>
      </c>
      <c r="AI53" s="4"/>
      <c r="AJ53" s="1025" t="s">
        <v>1091</v>
      </c>
      <c r="AK53" s="1009" t="s">
        <v>1023</v>
      </c>
      <c r="AL53" s="1010" t="s">
        <v>1024</v>
      </c>
      <c r="AM53" s="1009" t="s">
        <v>1074</v>
      </c>
      <c r="AN53" s="1020" t="s">
        <v>1074</v>
      </c>
      <c r="AO53" s="1020" t="s">
        <v>1074</v>
      </c>
      <c r="AP53" s="1021" t="s">
        <v>1074</v>
      </c>
      <c r="AQ53" s="1022" t="s">
        <v>1074</v>
      </c>
      <c r="AR53" s="1013" t="s">
        <v>1074</v>
      </c>
      <c r="AS53" s="1013" t="s">
        <v>1074</v>
      </c>
      <c r="AT53" s="1018">
        <v>68</v>
      </c>
      <c r="AU53" s="1019">
        <v>72</v>
      </c>
    </row>
    <row r="54" spans="1:47" ht="14.25" customHeight="1">
      <c r="A54" s="2770"/>
      <c r="B54" s="1783" t="str">
        <f>B$117</f>
        <v>Invert sugar</v>
      </c>
      <c r="C54" s="1834"/>
      <c r="D54" s="1834"/>
      <c r="E54" s="2107" t="str">
        <f t="shared" si="11"/>
        <v>0g</v>
      </c>
      <c r="F54" s="2110">
        <f t="shared" si="12"/>
        <v>0</v>
      </c>
      <c r="G54" s="2111">
        <f t="shared" si="13"/>
        <v>0</v>
      </c>
      <c r="H54" s="2142" t="s">
        <v>433</v>
      </c>
      <c r="I54" s="428">
        <v>0</v>
      </c>
      <c r="J54" s="2018"/>
      <c r="K54" s="2018"/>
      <c r="L54" s="2019"/>
      <c r="M54" s="2020">
        <f aca="true" t="shared" si="32" ref="M54:O56">J54</f>
        <v>0</v>
      </c>
      <c r="N54" s="2021">
        <f t="shared" si="32"/>
        <v>0</v>
      </c>
      <c r="O54" s="2020">
        <f t="shared" si="32"/>
        <v>0</v>
      </c>
      <c r="P54" s="4"/>
      <c r="Q54" s="1418">
        <f t="shared" si="21"/>
        <v>5.099999999999998</v>
      </c>
      <c r="R54" s="1420">
        <f t="shared" si="22"/>
        <v>144.58244999999994</v>
      </c>
      <c r="S54" s="562">
        <f t="shared" si="14"/>
        <v>0</v>
      </c>
      <c r="T54" s="282" t="s">
        <v>290</v>
      </c>
      <c r="U54" s="458"/>
      <c r="V54" s="93">
        <f t="shared" si="24"/>
        <v>0</v>
      </c>
      <c r="W54" s="93">
        <f aca="true" t="shared" si="33" ref="W54:AA56">$I54*K54</f>
        <v>0</v>
      </c>
      <c r="X54" s="93">
        <f t="shared" si="33"/>
        <v>0</v>
      </c>
      <c r="Y54" s="93">
        <f t="shared" si="33"/>
        <v>0</v>
      </c>
      <c r="Z54" s="93">
        <f t="shared" si="33"/>
        <v>0</v>
      </c>
      <c r="AA54" s="93">
        <f t="shared" si="33"/>
        <v>0</v>
      </c>
      <c r="AB54" s="40"/>
      <c r="AC54" s="343">
        <f t="shared" si="30"/>
        <v>319</v>
      </c>
      <c r="AD54" s="97">
        <f t="shared" si="31"/>
        <v>0.85</v>
      </c>
      <c r="AE54" s="343">
        <f t="shared" si="31"/>
        <v>0</v>
      </c>
      <c r="AF54" s="98">
        <f t="shared" si="15"/>
        <v>0</v>
      </c>
      <c r="AG54" s="524">
        <f>AF54*$AD54</f>
        <v>0</v>
      </c>
      <c r="AH54" s="78">
        <f t="shared" si="17"/>
        <v>0</v>
      </c>
      <c r="AI54" s="4"/>
      <c r="AJ54" s="1009" t="s">
        <v>1092</v>
      </c>
      <c r="AK54" s="1009" t="s">
        <v>1040</v>
      </c>
      <c r="AL54" s="1010" t="s">
        <v>1024</v>
      </c>
      <c r="AM54" s="1009" t="s">
        <v>1025</v>
      </c>
      <c r="AN54" s="1020"/>
      <c r="AO54" s="1020"/>
      <c r="AP54" s="1021" t="s">
        <v>1090</v>
      </c>
      <c r="AQ54" s="1022">
        <v>12</v>
      </c>
      <c r="AR54" s="1013">
        <f aca="true" t="shared" si="34" ref="AR54:AR85">((AT60+40)*5/9)-40</f>
        <v>15.555555555555557</v>
      </c>
      <c r="AS54" s="1013">
        <f aca="true" t="shared" si="35" ref="AS54:AS85">((AU60+40)*5/9)-40</f>
        <v>23.888888888888886</v>
      </c>
      <c r="AT54" s="1014">
        <v>70</v>
      </c>
      <c r="AU54" s="1014">
        <v>79</v>
      </c>
    </row>
    <row r="55" spans="1:47" ht="14.25" customHeight="1">
      <c r="A55" s="2770"/>
      <c r="B55" s="1904" t="s">
        <v>142</v>
      </c>
      <c r="C55" s="2022" t="str">
        <f>INT(0.85*(C54+D54/16))&amp;" lb "&amp;FIXED(16*((0.85*(C54+D54/16))-INT(0.85*(C54+D54/16))),1)&amp;" oz  OR  "&amp;FIXED(0.85*(C54+D54/16),3)&amp;" lb"</f>
        <v>0 lb 0.0 oz  OR  0.000 lb</v>
      </c>
      <c r="D55" s="2022"/>
      <c r="E55" s="2107"/>
      <c r="F55" s="2112"/>
      <c r="G55" s="2113"/>
      <c r="H55" s="2142" t="s">
        <v>434</v>
      </c>
      <c r="I55" s="428">
        <v>0</v>
      </c>
      <c r="J55" s="2018"/>
      <c r="K55" s="2018"/>
      <c r="L55" s="2019"/>
      <c r="M55" s="2020">
        <f t="shared" si="32"/>
        <v>0</v>
      </c>
      <c r="N55" s="2021">
        <f t="shared" si="32"/>
        <v>0</v>
      </c>
      <c r="O55" s="2020">
        <f t="shared" si="32"/>
        <v>0</v>
      </c>
      <c r="P55" s="4"/>
      <c r="Q55" s="1418">
        <f t="shared" si="21"/>
        <v>5.1999999999999975</v>
      </c>
      <c r="R55" s="1420">
        <f t="shared" si="22"/>
        <v>147.41739999999993</v>
      </c>
      <c r="S55" s="563">
        <f>0.85*S54</f>
        <v>0</v>
      </c>
      <c r="T55" s="282" t="s">
        <v>290</v>
      </c>
      <c r="U55" s="458"/>
      <c r="V55" s="93">
        <f t="shared" si="24"/>
        <v>0</v>
      </c>
      <c r="W55" s="93">
        <f t="shared" si="33"/>
        <v>0</v>
      </c>
      <c r="X55" s="93">
        <f t="shared" si="33"/>
        <v>0</v>
      </c>
      <c r="Y55" s="93">
        <f t="shared" si="33"/>
        <v>0</v>
      </c>
      <c r="Z55" s="93">
        <f t="shared" si="33"/>
        <v>0</v>
      </c>
      <c r="AA55" s="93">
        <f t="shared" si="33"/>
        <v>0</v>
      </c>
      <c r="AB55" s="40"/>
      <c r="AC55" s="343"/>
      <c r="AD55" s="97"/>
      <c r="AE55" s="101"/>
      <c r="AF55" s="98"/>
      <c r="AG55" s="106"/>
      <c r="AH55" s="78">
        <f t="shared" si="17"/>
        <v>0</v>
      </c>
      <c r="AI55" s="4"/>
      <c r="AJ55" s="1009" t="s">
        <v>1095</v>
      </c>
      <c r="AK55" s="1009" t="s">
        <v>1096</v>
      </c>
      <c r="AL55" s="1030" t="s">
        <v>1097</v>
      </c>
      <c r="AM55" s="1009" t="s">
        <v>1036</v>
      </c>
      <c r="AN55" s="1020"/>
      <c r="AO55" s="1020"/>
      <c r="AP55" s="1021" t="s">
        <v>1020</v>
      </c>
      <c r="AQ55" s="1022" t="s">
        <v>1034</v>
      </c>
      <c r="AR55" s="1013">
        <f t="shared" si="34"/>
        <v>17.77777777777778</v>
      </c>
      <c r="AS55" s="1013">
        <f t="shared" si="35"/>
        <v>22.77777777777778</v>
      </c>
      <c r="AT55" s="1014">
        <v>45</v>
      </c>
      <c r="AU55" s="1014">
        <v>68</v>
      </c>
    </row>
    <row r="56" spans="1:47" ht="14.25" customHeight="1">
      <c r="A56" s="2770"/>
      <c r="B56" s="1908" t="s">
        <v>296</v>
      </c>
      <c r="C56" s="2023">
        <v>0.063</v>
      </c>
      <c r="D56" s="2696" t="str">
        <f>"oz/UK pt = "&amp;FIXED((C57/0.02)/(K28*28.349523),2)&amp;" tsp"</f>
        <v>oz/UK pt = 0.80 tsp</v>
      </c>
      <c r="E56" s="2697"/>
      <c r="F56" s="2114">
        <f>100*IF(S56=0,0,S56*C23/$S$57)</f>
        <v>2.5669642857142865</v>
      </c>
      <c r="G56" s="2115">
        <f>IF(AF56=0,0,AF56*100/$S$58)</f>
        <v>4.040943542747911</v>
      </c>
      <c r="H56" s="2142" t="s">
        <v>50</v>
      </c>
      <c r="I56" s="428">
        <v>0</v>
      </c>
      <c r="J56" s="2018"/>
      <c r="K56" s="2018"/>
      <c r="L56" s="2019"/>
      <c r="M56" s="2020">
        <f t="shared" si="32"/>
        <v>0</v>
      </c>
      <c r="N56" s="2021">
        <f t="shared" si="32"/>
        <v>0</v>
      </c>
      <c r="O56" s="2020">
        <f t="shared" si="32"/>
        <v>0</v>
      </c>
      <c r="P56" s="4"/>
      <c r="Q56" s="1418">
        <f t="shared" si="21"/>
        <v>5.299999999999997</v>
      </c>
      <c r="R56" s="1420">
        <f t="shared" si="22"/>
        <v>150.25234999999992</v>
      </c>
      <c r="S56" s="564">
        <f>C56/0.02</f>
        <v>3.15</v>
      </c>
      <c r="U56" s="458"/>
      <c r="V56" s="93">
        <f t="shared" si="24"/>
        <v>0</v>
      </c>
      <c r="W56" s="93">
        <f t="shared" si="33"/>
        <v>0</v>
      </c>
      <c r="X56" s="93">
        <f t="shared" si="33"/>
        <v>0</v>
      </c>
      <c r="Y56" s="93">
        <f t="shared" si="33"/>
        <v>0</v>
      </c>
      <c r="Z56" s="93">
        <f t="shared" si="33"/>
        <v>0</v>
      </c>
      <c r="AA56" s="93">
        <f t="shared" si="33"/>
        <v>0</v>
      </c>
      <c r="AB56" s="40"/>
      <c r="AC56" s="102">
        <v>375</v>
      </c>
      <c r="AD56" s="102">
        <v>1</v>
      </c>
      <c r="AE56" s="102"/>
      <c r="AF56" s="98">
        <f>0.001*AC56*S56*C23</f>
        <v>27.16875</v>
      </c>
      <c r="AG56" s="106">
        <f>AF56*$AD56</f>
        <v>27.16875</v>
      </c>
      <c r="AH56" s="79"/>
      <c r="AI56" s="4"/>
      <c r="AJ56" s="1009" t="s">
        <v>1098</v>
      </c>
      <c r="AK56" s="1009" t="s">
        <v>1096</v>
      </c>
      <c r="AL56" s="1030" t="s">
        <v>1097</v>
      </c>
      <c r="AM56" s="1009" t="s">
        <v>1020</v>
      </c>
      <c r="AN56" s="1020"/>
      <c r="AO56" s="1020"/>
      <c r="AP56" s="1021" t="s">
        <v>1020</v>
      </c>
      <c r="AQ56" s="1022" t="s">
        <v>1034</v>
      </c>
      <c r="AR56" s="1013">
        <f t="shared" si="34"/>
        <v>10</v>
      </c>
      <c r="AS56" s="1013">
        <f t="shared" si="35"/>
        <v>15</v>
      </c>
      <c r="AT56" s="1014" t="s">
        <v>1074</v>
      </c>
      <c r="AU56" s="1014" t="s">
        <v>1074</v>
      </c>
    </row>
    <row r="57" spans="1:47" ht="14.25" customHeight="1">
      <c r="A57" s="559"/>
      <c r="B57" s="619" t="s">
        <v>77</v>
      </c>
      <c r="C57" s="1909">
        <f>C56*16/20</f>
        <v>0.0504</v>
      </c>
      <c r="D57" s="2699" t="str">
        <f>"oz/US pt = "&amp;FIXED(C57/K28)&amp;" level tsp"</f>
        <v>oz/US pt = 0.45 level tsp</v>
      </c>
      <c r="E57" s="2699"/>
      <c r="F57" s="2699"/>
      <c r="G57" s="2095"/>
      <c r="H57" s="2714" t="s">
        <v>1174</v>
      </c>
      <c r="I57" s="2715"/>
      <c r="J57" s="2024"/>
      <c r="K57" s="2731" t="str">
        <f>" = "&amp;FIXED(J57/5)&amp;" tsp (5ml)."</f>
        <v> = 0.00 tsp (5ml).</v>
      </c>
      <c r="L57" s="2731"/>
      <c r="M57" s="1486">
        <f>J57</f>
        <v>0</v>
      </c>
      <c r="N57" s="2731" t="str">
        <f>" = "&amp;FIXED(M57/5)&amp;" tsp (5ml)."</f>
        <v> = 0.00 tsp (5ml).</v>
      </c>
      <c r="O57" s="2731"/>
      <c r="P57" s="4"/>
      <c r="Q57" s="1418">
        <f t="shared" si="21"/>
        <v>5.399999999999997</v>
      </c>
      <c r="R57" s="1420">
        <f t="shared" si="22"/>
        <v>153.0872999999999</v>
      </c>
      <c r="S57" s="565">
        <f>(SUM(S37:S54)+C23*S56)</f>
        <v>2822.3999999999996</v>
      </c>
      <c r="U57" s="458"/>
      <c r="V57" s="93"/>
      <c r="W57" s="431"/>
      <c r="X57" s="93"/>
      <c r="Y57" s="93"/>
      <c r="Z57" s="431"/>
      <c r="AA57" s="431"/>
      <c r="AB57" s="40"/>
      <c r="AC57" s="526" t="s">
        <v>384</v>
      </c>
      <c r="AD57" s="527">
        <f>C61/62</f>
        <v>1.2258064516129032</v>
      </c>
      <c r="AE57" s="526"/>
      <c r="AF57" s="528" t="s">
        <v>384</v>
      </c>
      <c r="AG57" s="529">
        <f>C61/62</f>
        <v>1.2258064516129032</v>
      </c>
      <c r="AH57" s="530"/>
      <c r="AI57" s="4"/>
      <c r="AJ57" s="1009" t="s">
        <v>1099</v>
      </c>
      <c r="AK57" s="1009" t="s">
        <v>1040</v>
      </c>
      <c r="AL57" s="1010" t="s">
        <v>1024</v>
      </c>
      <c r="AM57" s="1009" t="s">
        <v>1025</v>
      </c>
      <c r="AN57" s="1011">
        <v>73</v>
      </c>
      <c r="AO57" s="1011">
        <v>75</v>
      </c>
      <c r="AP57" s="1012">
        <v>74</v>
      </c>
      <c r="AQ57" s="1022">
        <v>10</v>
      </c>
      <c r="AR57" s="1013">
        <f t="shared" si="34"/>
        <v>17.77777777777778</v>
      </c>
      <c r="AS57" s="1013">
        <f t="shared" si="35"/>
        <v>22.22222222222222</v>
      </c>
      <c r="AT57" s="1014" t="s">
        <v>1074</v>
      </c>
      <c r="AU57" s="1014" t="s">
        <v>1074</v>
      </c>
    </row>
    <row r="58" spans="1:47" ht="14.25" customHeight="1">
      <c r="A58" s="559"/>
      <c r="B58" s="619" t="s">
        <v>77</v>
      </c>
      <c r="C58" s="2157">
        <f>S56</f>
        <v>3.15</v>
      </c>
      <c r="D58" s="2158" t="str">
        <f>"g/litre = "&amp;FIXED(C58/3.15)&amp;" level tsp"</f>
        <v>g/litre = 1.00 level tsp</v>
      </c>
      <c r="E58" s="118"/>
      <c r="F58" s="118"/>
      <c r="H58" s="2778" t="s">
        <v>739</v>
      </c>
      <c r="I58" s="2779"/>
      <c r="J58" s="2779"/>
      <c r="K58" s="2779"/>
      <c r="L58" s="2779"/>
      <c r="M58" s="2779"/>
      <c r="N58" s="2779"/>
      <c r="O58" s="2780"/>
      <c r="P58" s="4"/>
      <c r="Q58" s="1418">
        <f t="shared" si="21"/>
        <v>5.4999999999999964</v>
      </c>
      <c r="R58" s="1420">
        <f aca="true" t="shared" si="36" ref="R58:R70">Q58*28.3495</f>
        <v>155.9222499999999</v>
      </c>
      <c r="S58" s="566">
        <f>SUM(AF37:AF56)</f>
        <v>672.3367875000001</v>
      </c>
      <c r="T58" s="555"/>
      <c r="U58" s="458"/>
      <c r="V58" s="93"/>
      <c r="W58" s="431"/>
      <c r="X58" s="95"/>
      <c r="Y58" s="93"/>
      <c r="Z58" s="431"/>
      <c r="AA58" s="94"/>
      <c r="AB58" s="40"/>
      <c r="AC58" s="507"/>
      <c r="AD58" s="493"/>
      <c r="AE58" s="493"/>
      <c r="AF58" s="511" t="s">
        <v>108</v>
      </c>
      <c r="AG58" s="512">
        <f>SUM(AG37:AG51)/(C23)</f>
        <v>15.385415576086954</v>
      </c>
      <c r="AH58" s="493"/>
      <c r="AI58" s="4"/>
      <c r="AJ58" s="1009" t="s">
        <v>1100</v>
      </c>
      <c r="AK58" s="1009" t="s">
        <v>1040</v>
      </c>
      <c r="AL58" s="1010" t="s">
        <v>1024</v>
      </c>
      <c r="AM58" s="1009" t="s">
        <v>1020</v>
      </c>
      <c r="AN58" s="1011">
        <v>73</v>
      </c>
      <c r="AO58" s="1011">
        <v>76</v>
      </c>
      <c r="AP58" s="1012">
        <v>74</v>
      </c>
      <c r="AQ58" s="1022">
        <v>10</v>
      </c>
      <c r="AR58" s="1013">
        <f t="shared" si="34"/>
        <v>17.22222222222222</v>
      </c>
      <c r="AS58" s="1013">
        <f t="shared" si="35"/>
        <v>23.888888888888886</v>
      </c>
      <c r="AT58" s="1014">
        <v>60</v>
      </c>
      <c r="AU58" s="1014">
        <v>75</v>
      </c>
    </row>
    <row r="59" spans="1:47" ht="14.25" customHeight="1">
      <c r="A59" s="559"/>
      <c r="B59" s="1910" t="s">
        <v>533</v>
      </c>
      <c r="C59" s="1911">
        <f>S56*$T$60+VLOOKUP($C$25,$S$63:$T$93,2)</f>
        <v>1.7032631578947366</v>
      </c>
      <c r="D59" s="2106" t="str">
        <f>FIXED(S57/453.6)&amp;" lbs"</f>
        <v>6.22 lbs</v>
      </c>
      <c r="E59" s="2107" t="str">
        <f>FIXED(S57,0)&amp;"g"</f>
        <v>2,822g</v>
      </c>
      <c r="F59" s="2152" t="s">
        <v>445</v>
      </c>
      <c r="G59" s="2116"/>
      <c r="H59" s="2803" t="s">
        <v>122</v>
      </c>
      <c r="I59" s="2804"/>
      <c r="J59" s="2025">
        <v>9</v>
      </c>
      <c r="K59" s="2741" t="s">
        <v>628</v>
      </c>
      <c r="L59" s="2742"/>
      <c r="M59" s="2025">
        <f>J59</f>
        <v>9</v>
      </c>
      <c r="N59" s="2741" t="s">
        <v>628</v>
      </c>
      <c r="O59" s="2742"/>
      <c r="P59" s="4"/>
      <c r="Q59" s="1418">
        <f aca="true" t="shared" si="37" ref="Q59:Q65">Q58+0.1</f>
        <v>5.599999999999996</v>
      </c>
      <c r="R59" s="1420">
        <f t="shared" si="36"/>
        <v>158.7571999999999</v>
      </c>
      <c r="S59" s="109"/>
      <c r="T59" s="109"/>
      <c r="U59" s="458"/>
      <c r="V59" s="93"/>
      <c r="W59" s="431"/>
      <c r="X59" s="95"/>
      <c r="Y59" s="93"/>
      <c r="Z59" s="431"/>
      <c r="AA59" s="94"/>
      <c r="AB59" s="40"/>
      <c r="AC59"/>
      <c r="AD59"/>
      <c r="AE59"/>
      <c r="AF59" s="511" t="s">
        <v>109</v>
      </c>
      <c r="AG59" s="477">
        <f>(1.07993715174291*(SUM(AG52:AG56)/C23))</f>
        <v>4.769918060986212</v>
      </c>
      <c r="AH59"/>
      <c r="AI59" s="4"/>
      <c r="AJ59" s="1009" t="s">
        <v>1101</v>
      </c>
      <c r="AK59" s="1009" t="s">
        <v>1023</v>
      </c>
      <c r="AL59" s="1010" t="s">
        <v>1024</v>
      </c>
      <c r="AM59" s="1009" t="s">
        <v>1020</v>
      </c>
      <c r="AN59" s="1011">
        <v>67</v>
      </c>
      <c r="AO59" s="1011">
        <v>74</v>
      </c>
      <c r="AP59" s="1012">
        <f>(AN59+AO59)/2</f>
        <v>70.5</v>
      </c>
      <c r="AQ59" s="1006" t="s">
        <v>1026</v>
      </c>
      <c r="AR59" s="1013">
        <f t="shared" si="34"/>
        <v>18.333333333333336</v>
      </c>
      <c r="AS59" s="1013">
        <f t="shared" si="35"/>
        <v>21.111111111111114</v>
      </c>
      <c r="AT59" s="1014" t="s">
        <v>1074</v>
      </c>
      <c r="AU59" s="1014" t="s">
        <v>1074</v>
      </c>
    </row>
    <row r="60" spans="1:47" ht="14.25" customHeight="1">
      <c r="A60" s="559"/>
      <c r="B60" s="2789" t="s">
        <v>51</v>
      </c>
      <c r="C60" s="2789"/>
      <c r="D60" s="2789"/>
      <c r="E60" s="2790"/>
      <c r="F60" s="2117">
        <f>SUM(F37:F56)/100</f>
        <v>1.0000000000000002</v>
      </c>
      <c r="G60" s="2118">
        <f>SUM(G37:G56)/100</f>
        <v>0.9999999999999997</v>
      </c>
      <c r="H60" s="2805" t="s">
        <v>627</v>
      </c>
      <c r="I60" s="2806"/>
      <c r="J60" s="2027">
        <f>1000+SUM($AF37:$AF51)/$J59</f>
        <v>1063.4165875</v>
      </c>
      <c r="K60" s="2743"/>
      <c r="L60" s="2744"/>
      <c r="M60" s="2027">
        <f>1000+SUM($AF37:$AF54)/M59</f>
        <v>1071.6853375</v>
      </c>
      <c r="N60" s="2743"/>
      <c r="O60" s="2744"/>
      <c r="P60" s="4"/>
      <c r="Q60" s="1418">
        <f t="shared" si="37"/>
        <v>5.699999999999996</v>
      </c>
      <c r="R60" s="1420">
        <f t="shared" si="36"/>
        <v>161.59214999999986</v>
      </c>
      <c r="S60" s="186" t="s">
        <v>384</v>
      </c>
      <c r="T60" s="482">
        <f>89.6/342</f>
        <v>0.2619883040935672</v>
      </c>
      <c r="U60" s="458"/>
      <c r="V60" s="103"/>
      <c r="W60" s="433"/>
      <c r="X60" s="105"/>
      <c r="Y60" s="103"/>
      <c r="Z60" s="433"/>
      <c r="AA60" s="104"/>
      <c r="AB60" s="40"/>
      <c r="AC60"/>
      <c r="AD60"/>
      <c r="AE60"/>
      <c r="AF60" s="511"/>
      <c r="AG60" s="477"/>
      <c r="AH60"/>
      <c r="AI60" s="4"/>
      <c r="AJ60" s="1009" t="s">
        <v>1102</v>
      </c>
      <c r="AK60" s="1009" t="s">
        <v>1040</v>
      </c>
      <c r="AL60" s="1010" t="s">
        <v>1024</v>
      </c>
      <c r="AM60" s="1009" t="s">
        <v>1028</v>
      </c>
      <c r="AN60" s="1011">
        <v>74</v>
      </c>
      <c r="AO60" s="1011">
        <v>77</v>
      </c>
      <c r="AP60" s="1012">
        <f>(AN60+AO60)/2</f>
        <v>75.5</v>
      </c>
      <c r="AQ60" s="1006" t="s">
        <v>1038</v>
      </c>
      <c r="AR60" s="1013">
        <f t="shared" si="34"/>
        <v>17.22222222222222</v>
      </c>
      <c r="AS60" s="1013">
        <f t="shared" si="35"/>
        <v>25</v>
      </c>
      <c r="AT60" s="1014">
        <v>60</v>
      </c>
      <c r="AU60" s="1014">
        <v>75</v>
      </c>
    </row>
    <row r="61" spans="1:47" ht="14.25" customHeight="1">
      <c r="A61" s="559"/>
      <c r="B61" s="1783" t="s">
        <v>279</v>
      </c>
      <c r="C61" s="2026">
        <v>76</v>
      </c>
      <c r="D61" s="2791" t="s">
        <v>127</v>
      </c>
      <c r="E61" s="2792"/>
      <c r="F61" s="2119" t="s">
        <v>448</v>
      </c>
      <c r="G61" s="567" t="s">
        <v>448</v>
      </c>
      <c r="H61" s="2807" t="s">
        <v>435</v>
      </c>
      <c r="I61" s="2808"/>
      <c r="J61" s="2032">
        <v>60</v>
      </c>
      <c r="K61" s="2033">
        <v>30</v>
      </c>
      <c r="L61" s="2014">
        <v>15</v>
      </c>
      <c r="M61" s="2034">
        <f>J61</f>
        <v>60</v>
      </c>
      <c r="N61" s="2014">
        <f>K61</f>
        <v>30</v>
      </c>
      <c r="O61" s="2014">
        <f>L61</f>
        <v>15</v>
      </c>
      <c r="P61" s="4"/>
      <c r="Q61" s="1418">
        <f t="shared" si="37"/>
        <v>5.799999999999995</v>
      </c>
      <c r="R61" s="1420">
        <f t="shared" si="36"/>
        <v>164.42709999999985</v>
      </c>
      <c r="S61" s="1680" t="s">
        <v>358</v>
      </c>
      <c r="T61" s="17" t="s">
        <v>388</v>
      </c>
      <c r="U61" s="458"/>
      <c r="V61" s="103"/>
      <c r="W61" s="433"/>
      <c r="X61" s="105"/>
      <c r="Y61" s="103"/>
      <c r="Z61" s="433"/>
      <c r="AA61" s="104"/>
      <c r="AB61" s="40"/>
      <c r="AC61"/>
      <c r="AD61"/>
      <c r="AE61"/>
      <c r="AF61" s="511" t="s">
        <v>110</v>
      </c>
      <c r="AG61" s="519">
        <f>(1.07993715174291*(SUM(AG52:AG54))/C23)</f>
        <v>3.4942423004898995</v>
      </c>
      <c r="AH61"/>
      <c r="AI61" s="4"/>
      <c r="AJ61" s="1009" t="s">
        <v>1103</v>
      </c>
      <c r="AK61" s="1009" t="s">
        <v>1040</v>
      </c>
      <c r="AL61" s="1010" t="s">
        <v>1024</v>
      </c>
      <c r="AM61" s="1009" t="s">
        <v>1028</v>
      </c>
      <c r="AN61" s="1011">
        <v>71</v>
      </c>
      <c r="AO61" s="1011">
        <v>75</v>
      </c>
      <c r="AP61" s="1012">
        <f aca="true" t="shared" si="38" ref="AP61:AP66">(AN61+AO61)/2</f>
        <v>73</v>
      </c>
      <c r="AQ61" s="1022">
        <v>9</v>
      </c>
      <c r="AR61" s="1013">
        <f t="shared" si="34"/>
        <v>8.888888888888886</v>
      </c>
      <c r="AS61" s="1013">
        <f t="shared" si="35"/>
        <v>13.333333333333336</v>
      </c>
      <c r="AT61" s="1014">
        <v>64</v>
      </c>
      <c r="AU61" s="1014">
        <v>73</v>
      </c>
    </row>
    <row r="62" spans="1:47" ht="14.25" customHeight="1">
      <c r="A62" s="560"/>
      <c r="B62" s="2028" t="s">
        <v>446</v>
      </c>
      <c r="C62" s="628" t="s">
        <v>447</v>
      </c>
      <c r="D62" s="2029"/>
      <c r="E62" s="2030"/>
      <c r="F62" s="2120"/>
      <c r="G62" s="2031"/>
      <c r="H62" s="2809" t="s">
        <v>436</v>
      </c>
      <c r="I62" s="2810"/>
      <c r="J62" s="2035">
        <f>J63*V63/($J59*10)</f>
        <v>57.83632726998407</v>
      </c>
      <c r="K62" s="607">
        <f>K63*W63/($J59*10)</f>
        <v>0</v>
      </c>
      <c r="L62" s="2035">
        <f>L63*X63/($J59*10)</f>
        <v>0</v>
      </c>
      <c r="M62" s="2036">
        <f>M63*Y63/($M59*10)</f>
        <v>53.694157355669255</v>
      </c>
      <c r="N62" s="2035">
        <f>N63*Z63/($M59*10)</f>
        <v>0</v>
      </c>
      <c r="O62" s="2035">
        <f>O63*AA63/($M59*10)</f>
        <v>0</v>
      </c>
      <c r="P62" s="4"/>
      <c r="Q62" s="1418">
        <f t="shared" si="37"/>
        <v>5.899999999999995</v>
      </c>
      <c r="R62" s="1420">
        <f>Q62*28.3495</f>
        <v>167.26204999999985</v>
      </c>
      <c r="S62" s="1685" t="s">
        <v>359</v>
      </c>
      <c r="T62" s="1686" t="s">
        <v>360</v>
      </c>
      <c r="U62" s="458"/>
      <c r="V62" s="103"/>
      <c r="W62" s="433"/>
      <c r="X62" s="105"/>
      <c r="Y62" s="103"/>
      <c r="Z62" s="433"/>
      <c r="AA62" s="104"/>
      <c r="AB62" s="40"/>
      <c r="AC62" s="490"/>
      <c r="AD62" s="449"/>
      <c r="AE62" s="449"/>
      <c r="AF62" s="466" t="s">
        <v>633</v>
      </c>
      <c r="AG62" s="466"/>
      <c r="AH62" s="466"/>
      <c r="AI62" s="4"/>
      <c r="AJ62" s="1009" t="s">
        <v>1104</v>
      </c>
      <c r="AK62" s="1009" t="s">
        <v>1023</v>
      </c>
      <c r="AL62" s="1010" t="s">
        <v>1024</v>
      </c>
      <c r="AM62" s="1009" t="s">
        <v>1025</v>
      </c>
      <c r="AN62" s="1011">
        <v>65</v>
      </c>
      <c r="AO62" s="1011">
        <v>75</v>
      </c>
      <c r="AP62" s="1012">
        <f t="shared" si="38"/>
        <v>70</v>
      </c>
      <c r="AQ62" s="1006" t="s">
        <v>1026</v>
      </c>
      <c r="AR62" s="1013">
        <f t="shared" si="34"/>
        <v>20</v>
      </c>
      <c r="AS62" s="1013">
        <f t="shared" si="35"/>
        <v>22.77777777777778</v>
      </c>
      <c r="AT62" s="1014">
        <v>50</v>
      </c>
      <c r="AU62" s="1014">
        <v>59</v>
      </c>
    </row>
    <row r="63" spans="1:47" ht="14.25" customHeight="1">
      <c r="A63" s="201"/>
      <c r="B63" s="2037"/>
      <c r="C63" s="2037"/>
      <c r="D63" s="2037"/>
      <c r="E63" s="2037"/>
      <c r="F63" s="1920"/>
      <c r="G63" s="2038"/>
      <c r="H63" s="2799" t="s">
        <v>438</v>
      </c>
      <c r="I63" s="2800"/>
      <c r="J63" s="2039">
        <f>165*POWER(0.000125,0.001*($J60-1000))*(1-EXP(-$D212*$J61))/$D213</f>
        <v>20.446257033260537</v>
      </c>
      <c r="K63" s="2040">
        <f>165*POWER(0.000125,0.001*($J60-1000))*(1-EXP(-$D212*$K61))/$D213</f>
        <v>15.713455259851818</v>
      </c>
      <c r="L63" s="2041">
        <f>165*POWER(0.000125,0.001*($J60-1000))*(1-EXP(-$D212*$L61))/$D213</f>
        <v>10.145491481120224</v>
      </c>
      <c r="M63" s="2042">
        <f>165*POWER(0.000125,0.001*($M60-1000))*(1-EXP(-$D212*$M61))/$D213</f>
        <v>18.98192008896994</v>
      </c>
      <c r="N63" s="2039">
        <f>165*POWER(0.000125,0.001*($M60-1000))*(1-EXP(-$D212*$N61))/$D213</f>
        <v>14.588076026771274</v>
      </c>
      <c r="O63" s="2041">
        <f>165*POWER(0.000125,0.001*($M60-1000))*(1-EXP(-$D212*$O61))/$D213</f>
        <v>9.418883282386222</v>
      </c>
      <c r="P63" s="4"/>
      <c r="Q63" s="1418">
        <f t="shared" si="37"/>
        <v>5.999999999999995</v>
      </c>
      <c r="R63" s="1420">
        <f t="shared" si="36"/>
        <v>170.09699999999984</v>
      </c>
      <c r="S63" s="1681">
        <v>0</v>
      </c>
      <c r="T63" s="1682">
        <v>1.713</v>
      </c>
      <c r="U63" s="458"/>
      <c r="V63" s="432">
        <f aca="true" t="shared" si="39" ref="V63:AA63">SUM(V38:V56)*28.35</f>
        <v>254.58299999999997</v>
      </c>
      <c r="W63" s="432">
        <f t="shared" si="39"/>
        <v>0</v>
      </c>
      <c r="X63" s="432">
        <f t="shared" si="39"/>
        <v>0</v>
      </c>
      <c r="Y63" s="432">
        <f t="shared" si="39"/>
        <v>254.58299999999997</v>
      </c>
      <c r="Z63" s="432">
        <f t="shared" si="39"/>
        <v>0</v>
      </c>
      <c r="AA63" s="432">
        <f t="shared" si="39"/>
        <v>0</v>
      </c>
      <c r="AB63" s="40"/>
      <c r="AC63" s="66" t="s">
        <v>456</v>
      </c>
      <c r="AD63" s="449"/>
      <c r="AE63" s="383"/>
      <c r="AF63" s="383" t="s">
        <v>151</v>
      </c>
      <c r="AG63" s="471">
        <f>(S56*0.375*C23+SUM(AF37:AF54))/C23</f>
        <v>29.23203423913044</v>
      </c>
      <c r="AH63" s="65" t="s">
        <v>453</v>
      </c>
      <c r="AI63" s="4"/>
      <c r="AJ63" s="1009" t="s">
        <v>1105</v>
      </c>
      <c r="AK63" s="1009" t="s">
        <v>1023</v>
      </c>
      <c r="AL63" s="1010" t="s">
        <v>1024</v>
      </c>
      <c r="AM63" s="1009" t="s">
        <v>1028</v>
      </c>
      <c r="AN63" s="1011">
        <v>70</v>
      </c>
      <c r="AO63" s="1011">
        <v>75</v>
      </c>
      <c r="AP63" s="1012">
        <f t="shared" si="38"/>
        <v>72.5</v>
      </c>
      <c r="AQ63" s="1006" t="s">
        <v>1038</v>
      </c>
      <c r="AR63" s="1013">
        <f t="shared" si="34"/>
        <v>18.888888888888886</v>
      </c>
      <c r="AS63" s="1013">
        <f t="shared" si="35"/>
        <v>21.111111111111114</v>
      </c>
      <c r="AT63" s="1014">
        <v>64</v>
      </c>
      <c r="AU63" s="1014">
        <v>72</v>
      </c>
    </row>
    <row r="64" spans="1:47" ht="14.25" customHeight="1">
      <c r="A64" s="201"/>
      <c r="B64" s="1466"/>
      <c r="C64" s="1466"/>
      <c r="D64" s="1466"/>
      <c r="E64" s="1466"/>
      <c r="F64" s="1920"/>
      <c r="G64" s="2038"/>
      <c r="H64" s="2801" t="s">
        <v>440</v>
      </c>
      <c r="I64" s="2802"/>
      <c r="J64" s="2043">
        <f>J62*$J59/$C23</f>
        <v>22.631606323037243</v>
      </c>
      <c r="K64" s="2044">
        <f>K62*$J59/$C23</f>
        <v>0</v>
      </c>
      <c r="L64" s="2043">
        <f>L62*$J59/$C23</f>
        <v>0</v>
      </c>
      <c r="M64" s="2045">
        <f>M62*$M59/$C23</f>
        <v>21.010757226131446</v>
      </c>
      <c r="N64" s="2043">
        <f>N62*$M59/$C23</f>
        <v>0</v>
      </c>
      <c r="O64" s="2043">
        <f>O62*$M59/$C23</f>
        <v>0</v>
      </c>
      <c r="P64" s="4"/>
      <c r="Q64" s="1418">
        <f t="shared" si="37"/>
        <v>6.099999999999994</v>
      </c>
      <c r="R64" s="1420">
        <f t="shared" si="36"/>
        <v>172.93194999999983</v>
      </c>
      <c r="S64" s="1681">
        <f aca="true" t="shared" si="40" ref="S64:S93">S63+1</f>
        <v>1</v>
      </c>
      <c r="T64" s="1682">
        <v>1.646</v>
      </c>
      <c r="U64" s="458"/>
      <c r="V64" s="153"/>
      <c r="W64" s="153"/>
      <c r="X64" s="4"/>
      <c r="Y64" s="4"/>
      <c r="Z64" s="4"/>
      <c r="AA64" s="4"/>
      <c r="AB64" s="40"/>
      <c r="AC64" s="66" t="s">
        <v>454</v>
      </c>
      <c r="AD64" s="479"/>
      <c r="AE64" s="223"/>
      <c r="AF64" s="223" t="s">
        <v>143</v>
      </c>
      <c r="AG64" s="476">
        <f>SUM(AF37:AF54)/C23</f>
        <v>28.05078423913044</v>
      </c>
      <c r="AH64" s="65" t="s">
        <v>453</v>
      </c>
      <c r="AI64" s="4"/>
      <c r="AJ64" s="1009" t="s">
        <v>1106</v>
      </c>
      <c r="AK64" s="1009" t="s">
        <v>1023</v>
      </c>
      <c r="AL64" s="1010" t="s">
        <v>1024</v>
      </c>
      <c r="AM64" s="1009" t="s">
        <v>1025</v>
      </c>
      <c r="AN64" s="1011">
        <v>73</v>
      </c>
      <c r="AO64" s="1011">
        <v>80</v>
      </c>
      <c r="AP64" s="1012">
        <f t="shared" si="38"/>
        <v>76.5</v>
      </c>
      <c r="AQ64" s="1006" t="s">
        <v>1029</v>
      </c>
      <c r="AR64" s="1013">
        <f t="shared" si="34"/>
        <v>20</v>
      </c>
      <c r="AS64" s="1013">
        <f t="shared" si="35"/>
        <v>22.77777777777778</v>
      </c>
      <c r="AT64" s="1014">
        <v>63</v>
      </c>
      <c r="AU64" s="1014">
        <v>75</v>
      </c>
    </row>
    <row r="65" spans="1:47" ht="14.25" customHeight="1">
      <c r="A65" s="201"/>
      <c r="B65" s="1466"/>
      <c r="C65" s="1466"/>
      <c r="D65" s="1466"/>
      <c r="E65" s="1466"/>
      <c r="F65" s="1920"/>
      <c r="G65" s="626"/>
      <c r="H65" s="2773" t="s">
        <v>259</v>
      </c>
      <c r="I65" s="2774"/>
      <c r="J65" s="429" t="s">
        <v>441</v>
      </c>
      <c r="K65" s="1512">
        <f>(J64+K64+L64+(J57*L214*N214/(I214*C23)))</f>
        <v>22.631606323037243</v>
      </c>
      <c r="L65" s="1513" t="s">
        <v>413</v>
      </c>
      <c r="M65" s="430" t="s">
        <v>441</v>
      </c>
      <c r="N65" s="1514">
        <f>M64+N64+O64+(M57*L214*N214/(I214*C23))</f>
        <v>21.010757226131446</v>
      </c>
      <c r="O65" s="1515" t="s">
        <v>413</v>
      </c>
      <c r="P65" s="4"/>
      <c r="Q65" s="1418">
        <f t="shared" si="37"/>
        <v>6.199999999999994</v>
      </c>
      <c r="R65" s="1420">
        <f t="shared" si="36"/>
        <v>175.76689999999982</v>
      </c>
      <c r="S65" s="1681">
        <f t="shared" si="40"/>
        <v>2</v>
      </c>
      <c r="T65" s="1682">
        <v>1.584</v>
      </c>
      <c r="AC65" s="66" t="s">
        <v>454</v>
      </c>
      <c r="AD65"/>
      <c r="AE65" s="480"/>
      <c r="AF65" s="223" t="s">
        <v>148</v>
      </c>
      <c r="AG65" s="513">
        <f>(AG63-(0.375*S56*C23)/C23-AG57*AG58-AG61)</f>
        <v>5.697000264727501</v>
      </c>
      <c r="AH65" s="65" t="s">
        <v>455</v>
      </c>
      <c r="AI65" s="4"/>
      <c r="AJ65" s="1009" t="s">
        <v>1107</v>
      </c>
      <c r="AK65" s="1009" t="s">
        <v>1040</v>
      </c>
      <c r="AL65" s="1010" t="s">
        <v>1024</v>
      </c>
      <c r="AM65" s="1009" t="s">
        <v>1020</v>
      </c>
      <c r="AN65" s="1011">
        <v>67</v>
      </c>
      <c r="AO65" s="1011">
        <v>71</v>
      </c>
      <c r="AP65" s="1012">
        <f t="shared" si="38"/>
        <v>69</v>
      </c>
      <c r="AQ65" s="1022">
        <v>9</v>
      </c>
      <c r="AR65" s="1013">
        <f t="shared" si="34"/>
        <v>14.444444444444443</v>
      </c>
      <c r="AS65" s="1013">
        <f t="shared" si="35"/>
        <v>20</v>
      </c>
      <c r="AT65" s="1014">
        <v>65</v>
      </c>
      <c r="AU65" s="1014">
        <v>70</v>
      </c>
    </row>
    <row r="66" spans="1:47" ht="14.25" customHeight="1">
      <c r="A66" s="201"/>
      <c r="B66" s="1466"/>
      <c r="C66" s="1466"/>
      <c r="D66" s="1466"/>
      <c r="E66" s="1466"/>
      <c r="F66" s="1466"/>
      <c r="G66" s="1466"/>
      <c r="H66" s="2046"/>
      <c r="I66" s="2008"/>
      <c r="J66" s="2008"/>
      <c r="K66" s="2008"/>
      <c r="L66" s="2008"/>
      <c r="M66" s="2008"/>
      <c r="N66" s="2046"/>
      <c r="O66" s="2008"/>
      <c r="P66" s="4"/>
      <c r="Q66" s="1418">
        <f>Q65+0.1</f>
        <v>6.299999999999994</v>
      </c>
      <c r="R66" s="1420">
        <f t="shared" si="36"/>
        <v>178.6018499999998</v>
      </c>
      <c r="S66" s="1681">
        <f t="shared" si="40"/>
        <v>3</v>
      </c>
      <c r="T66" s="1682">
        <v>1.55</v>
      </c>
      <c r="AC66" s="66" t="s">
        <v>456</v>
      </c>
      <c r="AD66"/>
      <c r="AE66" s="156"/>
      <c r="AF66" s="383" t="s">
        <v>152</v>
      </c>
      <c r="AG66" s="476">
        <f>(AG63-AG57*AG58-AG59)</f>
        <v>5.602574504231187</v>
      </c>
      <c r="AH66" s="65" t="s">
        <v>455</v>
      </c>
      <c r="AI66" s="4"/>
      <c r="AJ66" s="1025" t="s">
        <v>1108</v>
      </c>
      <c r="AK66" s="1009" t="s">
        <v>1040</v>
      </c>
      <c r="AL66" s="1010" t="s">
        <v>1024</v>
      </c>
      <c r="AM66" s="1009" t="s">
        <v>1025</v>
      </c>
      <c r="AN66" s="1011">
        <v>75</v>
      </c>
      <c r="AO66" s="1011">
        <v>79</v>
      </c>
      <c r="AP66" s="1012">
        <f t="shared" si="38"/>
        <v>77</v>
      </c>
      <c r="AQ66" s="1022">
        <v>12</v>
      </c>
      <c r="AR66" s="1013">
        <f t="shared" si="34"/>
        <v>18.333333333333336</v>
      </c>
      <c r="AS66" s="1013">
        <f t="shared" si="35"/>
        <v>26.66666666666667</v>
      </c>
      <c r="AT66" s="1014">
        <v>63</v>
      </c>
      <c r="AU66" s="1014">
        <v>77</v>
      </c>
    </row>
    <row r="67" spans="1:47" ht="14.25" customHeight="1">
      <c r="A67" s="4"/>
      <c r="B67" s="553" t="s">
        <v>116</v>
      </c>
      <c r="C67" s="2047"/>
      <c r="D67" s="2047"/>
      <c r="E67" s="2047"/>
      <c r="F67" s="2047"/>
      <c r="G67" s="2047"/>
      <c r="H67" s="2048"/>
      <c r="I67" s="2048"/>
      <c r="J67" s="2048"/>
      <c r="K67" s="458"/>
      <c r="L67" s="2048"/>
      <c r="M67" s="2048"/>
      <c r="N67" s="1778"/>
      <c r="O67" s="2049"/>
      <c r="P67" s="199"/>
      <c r="Q67" s="1418">
        <f>Q66+0.1</f>
        <v>6.399999999999993</v>
      </c>
      <c r="R67" s="1420">
        <f t="shared" si="36"/>
        <v>181.4367999999998</v>
      </c>
      <c r="S67" s="1681">
        <f t="shared" si="40"/>
        <v>4</v>
      </c>
      <c r="T67" s="1682">
        <v>1.473</v>
      </c>
      <c r="AC67" s="532"/>
      <c r="AD67" s="623"/>
      <c r="AE67" s="624"/>
      <c r="AF67" s="109"/>
      <c r="AG67" s="4"/>
      <c r="AH67" s="200"/>
      <c r="AI67" s="4"/>
      <c r="AJ67" s="1009" t="s">
        <v>1109</v>
      </c>
      <c r="AK67" s="1009" t="s">
        <v>1110</v>
      </c>
      <c r="AL67" s="1030" t="s">
        <v>1097</v>
      </c>
      <c r="AM67" s="1009" t="s">
        <v>1020</v>
      </c>
      <c r="AN67" s="1020"/>
      <c r="AO67" s="1020"/>
      <c r="AP67" s="1021" t="s">
        <v>1020</v>
      </c>
      <c r="AQ67" s="1022" t="s">
        <v>1034</v>
      </c>
      <c r="AR67" s="1013">
        <f t="shared" si="34"/>
        <v>20</v>
      </c>
      <c r="AS67" s="1013">
        <f t="shared" si="35"/>
        <v>26.66666666666667</v>
      </c>
      <c r="AT67" s="1014">
        <v>48</v>
      </c>
      <c r="AU67" s="1014">
        <v>56</v>
      </c>
    </row>
    <row r="68" spans="1:47" ht="14.25" customHeight="1">
      <c r="A68" s="4"/>
      <c r="B68" s="2772" t="s">
        <v>1154</v>
      </c>
      <c r="C68" s="2772"/>
      <c r="D68" s="2772"/>
      <c r="E68" s="2772"/>
      <c r="F68" s="2772"/>
      <c r="G68" s="2772"/>
      <c r="H68" s="2772"/>
      <c r="I68" s="2772"/>
      <c r="J68" s="2772"/>
      <c r="K68" s="2772"/>
      <c r="L68" s="2225" t="s">
        <v>104</v>
      </c>
      <c r="M68" s="2226" t="s">
        <v>105</v>
      </c>
      <c r="N68" s="547"/>
      <c r="O68" s="199"/>
      <c r="P68" s="199"/>
      <c r="Q68" s="1418">
        <f>Q67+0.1</f>
        <v>6.499999999999993</v>
      </c>
      <c r="R68" s="1420">
        <f t="shared" si="36"/>
        <v>184.2717499999998</v>
      </c>
      <c r="S68" s="1681">
        <f t="shared" si="40"/>
        <v>5</v>
      </c>
      <c r="T68" s="1682">
        <v>1.424</v>
      </c>
      <c r="AC68" s="534"/>
      <c r="AD68" s="623"/>
      <c r="AE68" s="532"/>
      <c r="AF68" s="109"/>
      <c r="AG68" s="4"/>
      <c r="AH68" s="4"/>
      <c r="AI68" s="4"/>
      <c r="AJ68" s="1009" t="s">
        <v>1111</v>
      </c>
      <c r="AK68" s="1009" t="s">
        <v>1023</v>
      </c>
      <c r="AL68" s="1010" t="s">
        <v>1024</v>
      </c>
      <c r="AM68" s="1009" t="s">
        <v>1025</v>
      </c>
      <c r="AN68" s="1011">
        <v>72</v>
      </c>
      <c r="AO68" s="1011">
        <v>78</v>
      </c>
      <c r="AP68" s="1012">
        <f aca="true" t="shared" si="41" ref="AP68:AP78">(AN68+AO68)/2</f>
        <v>75</v>
      </c>
      <c r="AQ68" s="1006" t="s">
        <v>1026</v>
      </c>
      <c r="AR68" s="1013">
        <f t="shared" si="34"/>
        <v>10</v>
      </c>
      <c r="AS68" s="1013">
        <f t="shared" si="35"/>
        <v>14.444444444444443</v>
      </c>
      <c r="AT68" s="1014">
        <v>68</v>
      </c>
      <c r="AU68" s="1014">
        <v>73</v>
      </c>
    </row>
    <row r="69" spans="1:47" ht="14.25" customHeight="1">
      <c r="A69" s="4"/>
      <c r="B69" s="2775" t="s">
        <v>1155</v>
      </c>
      <c r="C69" s="2775"/>
      <c r="D69" s="2775"/>
      <c r="E69" s="2775"/>
      <c r="F69" s="2775"/>
      <c r="G69" s="2775"/>
      <c r="H69" s="2775"/>
      <c r="I69" s="2775"/>
      <c r="J69" s="2775"/>
      <c r="K69" s="2775"/>
      <c r="L69" s="2227">
        <v>2</v>
      </c>
      <c r="M69" s="2228">
        <v>8</v>
      </c>
      <c r="N69" s="547"/>
      <c r="O69" s="199"/>
      <c r="P69" s="199"/>
      <c r="Q69" s="1418">
        <f>Q68+0.1</f>
        <v>6.5999999999999925</v>
      </c>
      <c r="R69" s="1420">
        <f t="shared" si="36"/>
        <v>187.1066999999998</v>
      </c>
      <c r="S69" s="1681">
        <f t="shared" si="40"/>
        <v>6</v>
      </c>
      <c r="T69" s="1682">
        <v>1.377</v>
      </c>
      <c r="U69" s="458"/>
      <c r="V69" s="153"/>
      <c r="W69" s="242"/>
      <c r="Z69" s="109"/>
      <c r="AA69" s="109"/>
      <c r="AB69" s="40"/>
      <c r="AI69" s="4"/>
      <c r="AJ69" s="1023" t="s">
        <v>1112</v>
      </c>
      <c r="AK69" s="1016" t="s">
        <v>1031</v>
      </c>
      <c r="AL69" s="1010" t="s">
        <v>1024</v>
      </c>
      <c r="AM69" s="1009" t="s">
        <v>1025</v>
      </c>
      <c r="AN69" s="1024">
        <v>75</v>
      </c>
      <c r="AO69" s="1011">
        <v>80</v>
      </c>
      <c r="AP69" s="1012">
        <f t="shared" si="41"/>
        <v>77.5</v>
      </c>
      <c r="AQ69" s="1006" t="s">
        <v>1038</v>
      </c>
      <c r="AR69" s="1013">
        <f t="shared" si="34"/>
        <v>18.333333333333336</v>
      </c>
      <c r="AS69" s="1017">
        <f t="shared" si="35"/>
        <v>21.111111111111114</v>
      </c>
      <c r="AT69" s="1014">
        <v>66</v>
      </c>
      <c r="AU69" s="1014">
        <v>70</v>
      </c>
    </row>
    <row r="70" spans="1:47" ht="14.25" customHeight="1">
      <c r="A70" s="4"/>
      <c r="B70" s="549"/>
      <c r="C70" s="550"/>
      <c r="D70" s="551"/>
      <c r="E70" s="552"/>
      <c r="F70" s="552"/>
      <c r="G70" s="552"/>
      <c r="H70" s="547"/>
      <c r="I70" s="547"/>
      <c r="J70" s="4"/>
      <c r="K70" s="545"/>
      <c r="L70" s="2229">
        <v>2.5</v>
      </c>
      <c r="M70" s="2230"/>
      <c r="N70" s="547"/>
      <c r="O70" s="199"/>
      <c r="P70" s="199"/>
      <c r="Q70" s="1418">
        <f>Q69+0.1</f>
        <v>6.699999999999992</v>
      </c>
      <c r="R70" s="1420">
        <f t="shared" si="36"/>
        <v>189.94164999999978</v>
      </c>
      <c r="S70" s="1681">
        <f t="shared" si="40"/>
        <v>7</v>
      </c>
      <c r="T70" s="1682">
        <v>1.331</v>
      </c>
      <c r="U70" s="458"/>
      <c r="V70" s="153"/>
      <c r="W70" s="242"/>
      <c r="Z70" s="109"/>
      <c r="AA70" s="109"/>
      <c r="AB70" s="40"/>
      <c r="AC70" s="532"/>
      <c r="AD70" s="111"/>
      <c r="AE70" s="533"/>
      <c r="AF70" s="4"/>
      <c r="AG70" s="4"/>
      <c r="AH70" s="200"/>
      <c r="AI70" s="4"/>
      <c r="AJ70" s="1009" t="s">
        <v>1113</v>
      </c>
      <c r="AK70" s="1009" t="s">
        <v>1023</v>
      </c>
      <c r="AL70" s="1010" t="s">
        <v>1024</v>
      </c>
      <c r="AM70" s="1009" t="s">
        <v>1025</v>
      </c>
      <c r="AN70" s="1024">
        <v>75</v>
      </c>
      <c r="AO70" s="1011">
        <v>80</v>
      </c>
      <c r="AP70" s="1012">
        <f t="shared" si="41"/>
        <v>77.5</v>
      </c>
      <c r="AQ70" s="1006" t="s">
        <v>1026</v>
      </c>
      <c r="AR70" s="1013">
        <f t="shared" si="34"/>
        <v>10</v>
      </c>
      <c r="AS70" s="1013">
        <f t="shared" si="35"/>
        <v>12.777777777777779</v>
      </c>
      <c r="AT70" s="1014">
        <v>68</v>
      </c>
      <c r="AU70" s="1014">
        <v>73</v>
      </c>
    </row>
    <row r="71" spans="1:47" ht="14.25" customHeight="1">
      <c r="A71" s="4"/>
      <c r="B71" s="395" t="s">
        <v>48</v>
      </c>
      <c r="C71" s="550"/>
      <c r="D71" s="550"/>
      <c r="E71" s="548"/>
      <c r="F71" s="548"/>
      <c r="G71" s="548"/>
      <c r="H71" s="547"/>
      <c r="I71" s="547"/>
      <c r="J71" s="4"/>
      <c r="K71" s="545"/>
      <c r="L71" s="545"/>
      <c r="M71" s="545"/>
      <c r="N71" s="545"/>
      <c r="O71" s="199"/>
      <c r="P71" s="199"/>
      <c r="Q71" s="1416">
        <v>8.7</v>
      </c>
      <c r="R71" s="1420">
        <f>Q71*28.3495</f>
        <v>246.64064999999997</v>
      </c>
      <c r="S71" s="1681">
        <f t="shared" si="40"/>
        <v>8</v>
      </c>
      <c r="T71" s="1682">
        <v>1.282</v>
      </c>
      <c r="U71" s="458"/>
      <c r="V71" s="153"/>
      <c r="W71" s="242"/>
      <c r="Z71" s="109"/>
      <c r="AA71" s="109"/>
      <c r="AC71" s="534"/>
      <c r="AD71" s="111"/>
      <c r="AE71" s="331"/>
      <c r="AF71" s="4"/>
      <c r="AG71" s="4"/>
      <c r="AH71" s="4"/>
      <c r="AI71" s="4"/>
      <c r="AJ71" s="1009" t="s">
        <v>1114</v>
      </c>
      <c r="AK71" s="1009" t="s">
        <v>1040</v>
      </c>
      <c r="AL71" s="1010" t="s">
        <v>1024</v>
      </c>
      <c r="AM71" s="1009" t="s">
        <v>1028</v>
      </c>
      <c r="AN71" s="1011">
        <v>70</v>
      </c>
      <c r="AO71" s="1011">
        <v>74</v>
      </c>
      <c r="AP71" s="1012">
        <f t="shared" si="41"/>
        <v>72</v>
      </c>
      <c r="AQ71" s="1022">
        <v>9</v>
      </c>
      <c r="AR71" s="1013">
        <f t="shared" si="34"/>
        <v>10</v>
      </c>
      <c r="AS71" s="1013">
        <f t="shared" si="35"/>
        <v>14.444444444444443</v>
      </c>
      <c r="AT71" s="1014">
        <v>58</v>
      </c>
      <c r="AU71" s="1014">
        <v>68</v>
      </c>
    </row>
    <row r="72" spans="1:47" ht="14.25" customHeight="1">
      <c r="A72" s="153"/>
      <c r="B72" s="395"/>
      <c r="C72" s="198"/>
      <c r="D72" s="198"/>
      <c r="E72" s="198"/>
      <c r="F72" s="198"/>
      <c r="G72" s="198"/>
      <c r="H72" s="198"/>
      <c r="I72" s="198"/>
      <c r="J72" s="198"/>
      <c r="K72" s="198"/>
      <c r="L72" s="198"/>
      <c r="M72" s="198"/>
      <c r="N72" s="198"/>
      <c r="O72" s="198"/>
      <c r="P72" s="198"/>
      <c r="Q72" s="198"/>
      <c r="R72" s="198"/>
      <c r="S72" s="1681">
        <f t="shared" si="40"/>
        <v>9</v>
      </c>
      <c r="T72" s="1682">
        <v>1.237</v>
      </c>
      <c r="U72" s="458"/>
      <c r="V72" s="153"/>
      <c r="W72" s="153"/>
      <c r="Z72" s="4"/>
      <c r="AA72" s="523"/>
      <c r="AB72" s="520"/>
      <c r="AC72" s="242"/>
      <c r="AD72" s="107"/>
      <c r="AE72" s="107"/>
      <c r="AF72" s="107"/>
      <c r="AG72" s="187"/>
      <c r="AH72" s="107"/>
      <c r="AI72" s="4"/>
      <c r="AJ72" s="1009" t="s">
        <v>1115</v>
      </c>
      <c r="AK72" s="1009" t="s">
        <v>1040</v>
      </c>
      <c r="AL72" s="1010" t="s">
        <v>1024</v>
      </c>
      <c r="AM72" s="1009" t="s">
        <v>1036</v>
      </c>
      <c r="AN72" s="1011">
        <v>73</v>
      </c>
      <c r="AO72" s="1011">
        <v>77</v>
      </c>
      <c r="AP72" s="1012">
        <f t="shared" si="41"/>
        <v>75</v>
      </c>
      <c r="AQ72" s="1022">
        <v>9</v>
      </c>
      <c r="AR72" s="1013">
        <f t="shared" si="34"/>
        <v>7.777777777777779</v>
      </c>
      <c r="AS72" s="1013">
        <f t="shared" si="35"/>
        <v>13.333333333333336</v>
      </c>
      <c r="AT72" s="1014">
        <v>65</v>
      </c>
      <c r="AU72" s="1014">
        <v>80</v>
      </c>
    </row>
    <row r="73" spans="1:47" ht="14.25" customHeight="1">
      <c r="A73" s="153"/>
      <c r="B73" s="198"/>
      <c r="C73" s="198"/>
      <c r="D73" s="198"/>
      <c r="E73" s="198"/>
      <c r="F73" s="198"/>
      <c r="G73" s="198"/>
      <c r="H73" s="198"/>
      <c r="I73" s="198"/>
      <c r="J73" s="198"/>
      <c r="K73" s="198"/>
      <c r="L73" s="198"/>
      <c r="M73" s="198"/>
      <c r="N73" s="198"/>
      <c r="O73" s="198"/>
      <c r="P73" s="198"/>
      <c r="Q73" s="198"/>
      <c r="R73" s="1420"/>
      <c r="S73" s="1681">
        <f t="shared" si="40"/>
        <v>10</v>
      </c>
      <c r="T73" s="1682">
        <v>1.194</v>
      </c>
      <c r="U73" s="458"/>
      <c r="V73" s="153"/>
      <c r="W73" s="153"/>
      <c r="Z73" s="4"/>
      <c r="AA73" s="523"/>
      <c r="AB73" s="520"/>
      <c r="AC73" s="242"/>
      <c r="AD73" s="107"/>
      <c r="AE73" s="107"/>
      <c r="AF73" s="107"/>
      <c r="AG73" s="187"/>
      <c r="AH73" s="107"/>
      <c r="AI73" s="4"/>
      <c r="AJ73" s="1009" t="s">
        <v>1116</v>
      </c>
      <c r="AK73" s="1009" t="s">
        <v>1023</v>
      </c>
      <c r="AL73" s="1010" t="s">
        <v>1024</v>
      </c>
      <c r="AM73" s="1009" t="s">
        <v>1020</v>
      </c>
      <c r="AN73" s="1011">
        <v>70</v>
      </c>
      <c r="AO73" s="1011">
        <v>80</v>
      </c>
      <c r="AP73" s="1012">
        <f t="shared" si="41"/>
        <v>75</v>
      </c>
      <c r="AQ73" s="1006" t="s">
        <v>1038</v>
      </c>
      <c r="AR73" s="1013">
        <f t="shared" si="34"/>
        <v>18.333333333333336</v>
      </c>
      <c r="AS73" s="1013">
        <f t="shared" si="35"/>
        <v>21.111111111111114</v>
      </c>
      <c r="AT73" s="1014">
        <v>68</v>
      </c>
      <c r="AU73" s="1014">
        <v>80</v>
      </c>
    </row>
    <row r="74" spans="1:47" ht="14.25" customHeight="1">
      <c r="A74" s="153"/>
      <c r="B74" s="198"/>
      <c r="C74" s="198"/>
      <c r="D74" s="198"/>
      <c r="E74" s="198"/>
      <c r="F74" s="198"/>
      <c r="G74" s="198"/>
      <c r="H74" s="198"/>
      <c r="I74" s="198"/>
      <c r="J74" s="198"/>
      <c r="K74" s="198"/>
      <c r="L74" s="198"/>
      <c r="M74" s="198"/>
      <c r="N74" s="198"/>
      <c r="O74" s="198"/>
      <c r="P74" s="153"/>
      <c r="Q74" s="198"/>
      <c r="R74" s="1420"/>
      <c r="S74" s="1681">
        <f t="shared" si="40"/>
        <v>11</v>
      </c>
      <c r="T74" s="1682">
        <v>1.154</v>
      </c>
      <c r="U74" s="458"/>
      <c r="V74" s="153"/>
      <c r="W74" s="153"/>
      <c r="Z74" s="4"/>
      <c r="AA74" s="523"/>
      <c r="AB74" s="520"/>
      <c r="AC74" s="242"/>
      <c r="AD74" s="107"/>
      <c r="AE74" s="107"/>
      <c r="AF74" s="107"/>
      <c r="AG74" s="187"/>
      <c r="AH74" s="107"/>
      <c r="AI74" s="4"/>
      <c r="AJ74" s="1009" t="s">
        <v>1117</v>
      </c>
      <c r="AK74" s="1009" t="s">
        <v>1023</v>
      </c>
      <c r="AL74" s="1010" t="s">
        <v>1024</v>
      </c>
      <c r="AM74" s="1009" t="s">
        <v>1025</v>
      </c>
      <c r="AN74" s="1011">
        <v>65</v>
      </c>
      <c r="AO74" s="1011">
        <v>72</v>
      </c>
      <c r="AP74" s="1012">
        <f t="shared" si="41"/>
        <v>68.5</v>
      </c>
      <c r="AQ74" s="1006" t="s">
        <v>1026</v>
      </c>
      <c r="AR74" s="1013">
        <f t="shared" si="34"/>
        <v>18.333333333333336</v>
      </c>
      <c r="AS74" s="1013">
        <f t="shared" si="35"/>
        <v>20.555555555555557</v>
      </c>
      <c r="AT74" s="1014">
        <v>50</v>
      </c>
      <c r="AU74" s="1014">
        <v>58</v>
      </c>
    </row>
    <row r="75" spans="1:47" ht="14.25" customHeight="1">
      <c r="A75" s="153"/>
      <c r="B75" s="198"/>
      <c r="C75" s="198"/>
      <c r="D75" s="198"/>
      <c r="E75" s="198"/>
      <c r="F75" s="198"/>
      <c r="G75" s="198"/>
      <c r="H75" s="198"/>
      <c r="I75" s="198"/>
      <c r="J75" s="198"/>
      <c r="K75" s="198"/>
      <c r="L75" s="198"/>
      <c r="M75" s="198"/>
      <c r="N75" s="198"/>
      <c r="O75" s="198"/>
      <c r="P75" s="153"/>
      <c r="Q75" s="198"/>
      <c r="R75" s="1420"/>
      <c r="S75" s="1681">
        <f t="shared" si="40"/>
        <v>12</v>
      </c>
      <c r="T75" s="1682">
        <v>1.117</v>
      </c>
      <c r="U75" s="458"/>
      <c r="V75" s="153"/>
      <c r="W75" s="153"/>
      <c r="Z75" s="4"/>
      <c r="AA75" s="523"/>
      <c r="AB75" s="520"/>
      <c r="AC75" s="242"/>
      <c r="AD75" s="107"/>
      <c r="AE75" s="107"/>
      <c r="AF75" s="107"/>
      <c r="AG75" s="187"/>
      <c r="AH75" s="107"/>
      <c r="AI75" s="4"/>
      <c r="AJ75" s="1025" t="s">
        <v>1118</v>
      </c>
      <c r="AK75" s="1009" t="s">
        <v>1040</v>
      </c>
      <c r="AL75" s="1010" t="s">
        <v>1024</v>
      </c>
      <c r="AM75" s="1009" t="s">
        <v>1025</v>
      </c>
      <c r="AN75" s="1011">
        <v>74</v>
      </c>
      <c r="AO75" s="1011">
        <v>79</v>
      </c>
      <c r="AP75" s="1012">
        <f t="shared" si="41"/>
        <v>76.5</v>
      </c>
      <c r="AQ75" s="1022">
        <v>12</v>
      </c>
      <c r="AR75" s="1013">
        <f t="shared" si="34"/>
        <v>18.333333333333336</v>
      </c>
      <c r="AS75" s="1013">
        <f t="shared" si="35"/>
        <v>26.66666666666667</v>
      </c>
      <c r="AT75" s="1018">
        <v>65</v>
      </c>
      <c r="AU75" s="1019">
        <v>70</v>
      </c>
    </row>
    <row r="76" spans="1:47" ht="14.25" customHeight="1">
      <c r="A76" s="153"/>
      <c r="B76" s="198"/>
      <c r="C76" s="198"/>
      <c r="D76" s="198"/>
      <c r="E76" s="198"/>
      <c r="F76" s="198"/>
      <c r="G76" s="198"/>
      <c r="H76" s="198"/>
      <c r="I76" s="198"/>
      <c r="J76" s="198"/>
      <c r="K76" s="198"/>
      <c r="L76" s="198"/>
      <c r="M76" s="198"/>
      <c r="N76" s="198"/>
      <c r="O76" s="198"/>
      <c r="P76" s="153"/>
      <c r="Q76" s="198"/>
      <c r="R76" s="1420"/>
      <c r="S76" s="1681">
        <f t="shared" si="40"/>
        <v>13</v>
      </c>
      <c r="T76" s="1682">
        <v>1.083</v>
      </c>
      <c r="U76" s="458"/>
      <c r="V76" s="153"/>
      <c r="W76" s="153"/>
      <c r="Z76" s="4"/>
      <c r="AA76" s="523"/>
      <c r="AB76" s="520"/>
      <c r="AC76" s="242"/>
      <c r="AD76" s="107"/>
      <c r="AE76" s="107"/>
      <c r="AF76" s="107"/>
      <c r="AG76" s="187"/>
      <c r="AH76" s="107"/>
      <c r="AI76" s="4"/>
      <c r="AJ76" s="1009" t="s">
        <v>1119</v>
      </c>
      <c r="AK76" s="1009" t="s">
        <v>1023</v>
      </c>
      <c r="AL76" s="1010" t="s">
        <v>1024</v>
      </c>
      <c r="AM76" s="1009" t="s">
        <v>1041</v>
      </c>
      <c r="AN76" s="1011">
        <v>70</v>
      </c>
      <c r="AO76" s="1011">
        <v>75</v>
      </c>
      <c r="AP76" s="1012">
        <f t="shared" si="41"/>
        <v>72.5</v>
      </c>
      <c r="AQ76" s="1006" t="s">
        <v>1026</v>
      </c>
      <c r="AR76" s="1013">
        <f t="shared" si="34"/>
        <v>20</v>
      </c>
      <c r="AS76" s="1013">
        <f t="shared" si="35"/>
        <v>22.77777777777778</v>
      </c>
      <c r="AT76" s="1014">
        <v>50</v>
      </c>
      <c r="AU76" s="1014">
        <v>55</v>
      </c>
    </row>
    <row r="77" spans="1:47" ht="14.25" customHeight="1">
      <c r="A77" s="153"/>
      <c r="B77" s="198"/>
      <c r="C77" s="198"/>
      <c r="D77" s="198"/>
      <c r="E77" s="198"/>
      <c r="F77" s="198"/>
      <c r="G77" s="198"/>
      <c r="H77" s="198"/>
      <c r="I77" s="198"/>
      <c r="J77" s="198"/>
      <c r="K77" s="198"/>
      <c r="L77" s="198"/>
      <c r="M77" s="198"/>
      <c r="N77" s="198"/>
      <c r="O77" s="198"/>
      <c r="P77" s="153"/>
      <c r="Q77" s="198"/>
      <c r="R77" s="1420"/>
      <c r="S77" s="1681">
        <f t="shared" si="40"/>
        <v>14</v>
      </c>
      <c r="T77" s="1682">
        <v>1.05</v>
      </c>
      <c r="U77" s="458"/>
      <c r="V77" s="153"/>
      <c r="W77" s="153"/>
      <c r="Z77" s="4"/>
      <c r="AA77" s="523"/>
      <c r="AB77" s="520"/>
      <c r="AC77" s="242"/>
      <c r="AD77" s="107"/>
      <c r="AE77" s="107"/>
      <c r="AF77" s="107"/>
      <c r="AG77" s="187"/>
      <c r="AH77" s="107"/>
      <c r="AI77" s="4"/>
      <c r="AJ77" s="1023" t="s">
        <v>1120</v>
      </c>
      <c r="AK77" s="1016" t="s">
        <v>1031</v>
      </c>
      <c r="AL77" s="1010" t="s">
        <v>1024</v>
      </c>
      <c r="AM77" s="1009" t="s">
        <v>1028</v>
      </c>
      <c r="AN77" s="1024">
        <v>73</v>
      </c>
      <c r="AO77" s="1011">
        <v>82</v>
      </c>
      <c r="AP77" s="1012">
        <f t="shared" si="41"/>
        <v>77.5</v>
      </c>
      <c r="AQ77" s="1006" t="s">
        <v>1026</v>
      </c>
      <c r="AR77" s="1013">
        <f t="shared" si="34"/>
        <v>18.888888888888886</v>
      </c>
      <c r="AS77" s="1017">
        <f t="shared" si="35"/>
        <v>21.111111111111114</v>
      </c>
      <c r="AT77" s="1014">
        <v>50</v>
      </c>
      <c r="AU77" s="1014">
        <v>58</v>
      </c>
    </row>
    <row r="78" spans="1:47" ht="14.25" customHeight="1">
      <c r="A78" s="153"/>
      <c r="B78" s="198"/>
      <c r="C78" s="198"/>
      <c r="D78" s="198"/>
      <c r="E78" s="198"/>
      <c r="F78" s="198"/>
      <c r="G78" s="198"/>
      <c r="H78" s="198"/>
      <c r="I78" s="198"/>
      <c r="J78" s="198"/>
      <c r="K78" s="198"/>
      <c r="L78" s="198"/>
      <c r="M78" s="198"/>
      <c r="N78" s="198"/>
      <c r="O78" s="198"/>
      <c r="P78" s="153"/>
      <c r="Q78" s="198"/>
      <c r="R78" s="1420"/>
      <c r="S78" s="1681">
        <f t="shared" si="40"/>
        <v>15</v>
      </c>
      <c r="T78" s="1682">
        <v>1.019</v>
      </c>
      <c r="U78" s="458"/>
      <c r="V78" s="153"/>
      <c r="W78" s="153"/>
      <c r="Z78" s="4"/>
      <c r="AA78" s="523"/>
      <c r="AB78" s="520"/>
      <c r="AC78" s="242"/>
      <c r="AD78" s="107"/>
      <c r="AE78" s="107"/>
      <c r="AF78" s="107"/>
      <c r="AG78" s="187"/>
      <c r="AH78" s="107"/>
      <c r="AI78" s="4"/>
      <c r="AJ78" s="1023" t="s">
        <v>1121</v>
      </c>
      <c r="AK78" s="1016" t="s">
        <v>1031</v>
      </c>
      <c r="AL78" s="1010" t="s">
        <v>1024</v>
      </c>
      <c r="AM78" s="1009" t="s">
        <v>1025</v>
      </c>
      <c r="AN78" s="1024">
        <v>70</v>
      </c>
      <c r="AO78" s="1011">
        <v>75</v>
      </c>
      <c r="AP78" s="1012">
        <f t="shared" si="41"/>
        <v>72.5</v>
      </c>
      <c r="AQ78" s="1006" t="s">
        <v>1026</v>
      </c>
      <c r="AR78" s="1013">
        <f t="shared" si="34"/>
        <v>18.333333333333336</v>
      </c>
      <c r="AS78" s="1017">
        <f t="shared" si="35"/>
        <v>21.111111111111114</v>
      </c>
      <c r="AT78" s="1014">
        <v>46</v>
      </c>
      <c r="AU78" s="1014">
        <v>56</v>
      </c>
    </row>
    <row r="79" spans="1:47" ht="14.25" customHeight="1">
      <c r="A79" s="153"/>
      <c r="B79" s="198"/>
      <c r="C79" s="198"/>
      <c r="D79" s="198"/>
      <c r="E79" s="198"/>
      <c r="F79" s="198"/>
      <c r="G79" s="198"/>
      <c r="H79" s="198"/>
      <c r="I79" s="198"/>
      <c r="J79" s="198"/>
      <c r="K79" s="198"/>
      <c r="L79" s="198"/>
      <c r="M79" s="198"/>
      <c r="N79" s="198"/>
      <c r="O79" s="198"/>
      <c r="P79" s="153"/>
      <c r="Q79" s="198"/>
      <c r="R79" s="1420"/>
      <c r="S79" s="1681">
        <f t="shared" si="40"/>
        <v>16</v>
      </c>
      <c r="T79" s="1682">
        <v>0.985</v>
      </c>
      <c r="U79" s="458"/>
      <c r="V79" s="153"/>
      <c r="W79" s="153"/>
      <c r="Z79" s="4"/>
      <c r="AA79" s="523"/>
      <c r="AB79" s="520"/>
      <c r="AC79" s="242"/>
      <c r="AD79" s="107"/>
      <c r="AE79" s="107"/>
      <c r="AF79" s="107"/>
      <c r="AG79" s="187"/>
      <c r="AH79" s="107"/>
      <c r="AI79" s="4"/>
      <c r="AJ79" s="1009" t="s">
        <v>1122</v>
      </c>
      <c r="AK79" s="1009" t="s">
        <v>1033</v>
      </c>
      <c r="AL79" s="1010" t="s">
        <v>1024</v>
      </c>
      <c r="AM79" s="1009" t="s">
        <v>1025</v>
      </c>
      <c r="AN79" s="1020"/>
      <c r="AO79" s="1020"/>
      <c r="AP79" s="1021" t="s">
        <v>1020</v>
      </c>
      <c r="AQ79" s="1022" t="s">
        <v>1034</v>
      </c>
      <c r="AR79" s="1013">
        <f t="shared" si="34"/>
        <v>15</v>
      </c>
      <c r="AS79" s="1013">
        <f t="shared" si="35"/>
        <v>20</v>
      </c>
      <c r="AT79" s="1014">
        <v>65</v>
      </c>
      <c r="AU79" s="1014">
        <v>70</v>
      </c>
    </row>
    <row r="80" spans="1:47" ht="14.25" customHeight="1">
      <c r="A80" s="153"/>
      <c r="B80" s="198"/>
      <c r="C80" s="198"/>
      <c r="D80" s="198"/>
      <c r="E80" s="198"/>
      <c r="F80" s="198"/>
      <c r="G80" s="198"/>
      <c r="H80" s="198"/>
      <c r="I80" s="198"/>
      <c r="J80" s="198"/>
      <c r="K80" s="198"/>
      <c r="L80" s="198"/>
      <c r="M80" s="198"/>
      <c r="N80" s="198"/>
      <c r="O80" s="198"/>
      <c r="P80" s="153"/>
      <c r="Q80" s="198"/>
      <c r="R80" s="1420"/>
      <c r="S80" s="1681">
        <f t="shared" si="40"/>
        <v>17</v>
      </c>
      <c r="T80" s="1682">
        <v>0.956</v>
      </c>
      <c r="U80" s="458"/>
      <c r="V80" s="153"/>
      <c r="W80" s="153"/>
      <c r="Z80" s="4"/>
      <c r="AA80" s="523"/>
      <c r="AB80" s="520"/>
      <c r="AC80" s="242"/>
      <c r="AD80" s="107"/>
      <c r="AE80" s="107"/>
      <c r="AF80" s="107"/>
      <c r="AG80" s="187"/>
      <c r="AH80" s="107"/>
      <c r="AI80" s="4"/>
      <c r="AJ80" s="1009" t="s">
        <v>1123</v>
      </c>
      <c r="AK80" s="1009" t="s">
        <v>1023</v>
      </c>
      <c r="AL80" s="1010" t="s">
        <v>1024</v>
      </c>
      <c r="AM80" s="1009" t="s">
        <v>1124</v>
      </c>
      <c r="AN80" s="1011">
        <v>63</v>
      </c>
      <c r="AO80" s="1011">
        <v>70</v>
      </c>
      <c r="AP80" s="1012">
        <f aca="true" t="shared" si="42" ref="AP80:AP100">(AN80+AO80)/2</f>
        <v>66.5</v>
      </c>
      <c r="AQ80" s="1006" t="s">
        <v>1026</v>
      </c>
      <c r="AR80" s="1013">
        <f t="shared" si="34"/>
        <v>18.333333333333336</v>
      </c>
      <c r="AS80" s="1013">
        <f t="shared" si="35"/>
        <v>20</v>
      </c>
      <c r="AT80" s="1014">
        <v>65</v>
      </c>
      <c r="AU80" s="1014">
        <v>69</v>
      </c>
    </row>
    <row r="81" spans="1:47" ht="14.25" customHeight="1">
      <c r="A81" s="153"/>
      <c r="B81" s="198"/>
      <c r="C81" s="198"/>
      <c r="D81" s="198"/>
      <c r="E81" s="198"/>
      <c r="F81" s="198"/>
      <c r="G81" s="198"/>
      <c r="H81" s="198"/>
      <c r="I81" s="198"/>
      <c r="J81" s="198"/>
      <c r="K81" s="198"/>
      <c r="L81" s="198"/>
      <c r="M81" s="198"/>
      <c r="N81" s="198"/>
      <c r="O81" s="198"/>
      <c r="P81" s="153"/>
      <c r="Q81" s="198"/>
      <c r="R81" s="1420"/>
      <c r="S81" s="1681">
        <f t="shared" si="40"/>
        <v>18</v>
      </c>
      <c r="T81" s="1682">
        <v>0.928</v>
      </c>
      <c r="U81" s="458"/>
      <c r="V81" s="153"/>
      <c r="W81" s="153"/>
      <c r="Z81" s="4"/>
      <c r="AA81" s="523"/>
      <c r="AB81" s="520"/>
      <c r="AC81" s="242"/>
      <c r="AD81" s="107"/>
      <c r="AE81" s="107"/>
      <c r="AF81" s="107"/>
      <c r="AG81" s="187"/>
      <c r="AH81" s="107"/>
      <c r="AI81" s="4"/>
      <c r="AJ81" s="1025" t="s">
        <v>1125</v>
      </c>
      <c r="AK81" s="1009" t="s">
        <v>1040</v>
      </c>
      <c r="AL81" s="1010" t="s">
        <v>1024</v>
      </c>
      <c r="AM81" s="1009" t="s">
        <v>1124</v>
      </c>
      <c r="AN81" s="1011">
        <v>68</v>
      </c>
      <c r="AO81" s="1011">
        <v>72</v>
      </c>
      <c r="AP81" s="1012">
        <f t="shared" si="42"/>
        <v>70</v>
      </c>
      <c r="AQ81" s="1022">
        <v>10</v>
      </c>
      <c r="AR81" s="1013">
        <f t="shared" si="34"/>
        <v>17.77777777777778</v>
      </c>
      <c r="AS81" s="1013">
        <f t="shared" si="35"/>
        <v>22.22222222222222</v>
      </c>
      <c r="AT81" s="1014">
        <v>65</v>
      </c>
      <c r="AU81" s="1014">
        <v>80</v>
      </c>
    </row>
    <row r="82" spans="1:47" ht="14.25" customHeight="1">
      <c r="A82" s="153"/>
      <c r="B82" s="198"/>
      <c r="C82" s="198"/>
      <c r="D82" s="198"/>
      <c r="E82" s="198"/>
      <c r="F82" s="198"/>
      <c r="G82" s="198"/>
      <c r="H82" s="198"/>
      <c r="I82" s="198"/>
      <c r="J82" s="198"/>
      <c r="K82" s="198"/>
      <c r="L82" s="198"/>
      <c r="M82" s="198"/>
      <c r="N82" s="198"/>
      <c r="O82" s="198"/>
      <c r="P82" s="153"/>
      <c r="Q82" s="198"/>
      <c r="R82" s="1420"/>
      <c r="S82" s="1681">
        <f t="shared" si="40"/>
        <v>19</v>
      </c>
      <c r="T82" s="1682">
        <v>0.902</v>
      </c>
      <c r="U82" s="458"/>
      <c r="V82" s="153"/>
      <c r="W82" s="153"/>
      <c r="Z82" s="4"/>
      <c r="AA82" s="523"/>
      <c r="AB82" s="520"/>
      <c r="AC82" s="242"/>
      <c r="AD82" s="107"/>
      <c r="AE82" s="107"/>
      <c r="AF82" s="107"/>
      <c r="AG82" s="187"/>
      <c r="AH82" s="107"/>
      <c r="AI82" s="4"/>
      <c r="AJ82" s="1009" t="s">
        <v>1126</v>
      </c>
      <c r="AK82" s="1009" t="s">
        <v>1023</v>
      </c>
      <c r="AL82" s="1010" t="s">
        <v>1024</v>
      </c>
      <c r="AM82" s="1009" t="s">
        <v>1028</v>
      </c>
      <c r="AN82" s="1011">
        <v>71</v>
      </c>
      <c r="AO82" s="1011">
        <v>76</v>
      </c>
      <c r="AP82" s="1012">
        <f t="shared" si="42"/>
        <v>73.5</v>
      </c>
      <c r="AQ82" s="1006" t="s">
        <v>1026</v>
      </c>
      <c r="AR82" s="1013">
        <f t="shared" si="34"/>
        <v>18.888888888888886</v>
      </c>
      <c r="AS82" s="1013">
        <f t="shared" si="35"/>
        <v>21.111111111111114</v>
      </c>
      <c r="AT82" s="1014">
        <v>68</v>
      </c>
      <c r="AU82" s="1014">
        <v>73</v>
      </c>
    </row>
    <row r="83" spans="1:47" ht="14.25" customHeight="1">
      <c r="A83" s="153"/>
      <c r="B83" s="198"/>
      <c r="C83" s="198"/>
      <c r="D83" s="198"/>
      <c r="E83" s="198"/>
      <c r="F83" s="198"/>
      <c r="G83" s="198"/>
      <c r="H83" s="198"/>
      <c r="I83" s="198"/>
      <c r="J83" s="198"/>
      <c r="K83" s="198"/>
      <c r="L83" s="198"/>
      <c r="M83" s="198"/>
      <c r="N83" s="198"/>
      <c r="O83" s="198"/>
      <c r="P83" s="153"/>
      <c r="Q83" s="198"/>
      <c r="R83" s="1420"/>
      <c r="S83" s="1681">
        <f t="shared" si="40"/>
        <v>20</v>
      </c>
      <c r="T83" s="1682">
        <v>0.878</v>
      </c>
      <c r="U83" s="458"/>
      <c r="V83" s="153"/>
      <c r="W83" s="153"/>
      <c r="Z83" s="4"/>
      <c r="AA83" s="523"/>
      <c r="AB83" s="520"/>
      <c r="AC83" s="242"/>
      <c r="AD83" s="107"/>
      <c r="AE83" s="107"/>
      <c r="AF83" s="107"/>
      <c r="AG83" s="187"/>
      <c r="AH83" s="107"/>
      <c r="AI83" s="4"/>
      <c r="AJ83" s="1009" t="s">
        <v>1127</v>
      </c>
      <c r="AK83" s="1009" t="s">
        <v>1023</v>
      </c>
      <c r="AL83" s="1010" t="s">
        <v>1024</v>
      </c>
      <c r="AM83" s="1009" t="s">
        <v>1025</v>
      </c>
      <c r="AN83" s="1011">
        <v>65</v>
      </c>
      <c r="AO83" s="1011">
        <v>70</v>
      </c>
      <c r="AP83" s="1012">
        <f t="shared" si="42"/>
        <v>67.5</v>
      </c>
      <c r="AQ83" s="1006" t="s">
        <v>1026</v>
      </c>
      <c r="AR83" s="1013">
        <f t="shared" si="34"/>
        <v>18.333333333333336</v>
      </c>
      <c r="AS83" s="1013">
        <f t="shared" si="35"/>
        <v>21.111111111111114</v>
      </c>
      <c r="AT83" s="1018">
        <v>66</v>
      </c>
      <c r="AU83" s="1019">
        <v>70</v>
      </c>
    </row>
    <row r="84" spans="1:47" ht="14.25" customHeight="1">
      <c r="A84" s="153"/>
      <c r="B84" s="198"/>
      <c r="C84" s="198"/>
      <c r="D84" s="198"/>
      <c r="E84" s="198"/>
      <c r="F84" s="198"/>
      <c r="G84" s="198"/>
      <c r="H84" s="198"/>
      <c r="I84" s="198"/>
      <c r="J84" s="198"/>
      <c r="K84" s="198"/>
      <c r="L84" s="198"/>
      <c r="M84" s="198"/>
      <c r="N84" s="198"/>
      <c r="O84" s="198"/>
      <c r="P84" s="153"/>
      <c r="Q84" s="198"/>
      <c r="R84" s="1420"/>
      <c r="S84" s="1681">
        <f t="shared" si="40"/>
        <v>21</v>
      </c>
      <c r="T84" s="1682">
        <v>0.854</v>
      </c>
      <c r="U84" s="458"/>
      <c r="V84" s="153"/>
      <c r="W84" s="153"/>
      <c r="Z84" s="4"/>
      <c r="AA84" s="523"/>
      <c r="AB84" s="520"/>
      <c r="AC84" s="242"/>
      <c r="AD84" s="107"/>
      <c r="AE84" s="107"/>
      <c r="AF84" s="107"/>
      <c r="AG84" s="187"/>
      <c r="AH84" s="107"/>
      <c r="AI84" s="4"/>
      <c r="AJ84" s="1025" t="s">
        <v>1128</v>
      </c>
      <c r="AK84" s="1009" t="s">
        <v>1040</v>
      </c>
      <c r="AL84" s="1010" t="s">
        <v>1024</v>
      </c>
      <c r="AM84" s="1009" t="s">
        <v>1036</v>
      </c>
      <c r="AN84" s="1011">
        <v>73</v>
      </c>
      <c r="AO84" s="1011">
        <v>77</v>
      </c>
      <c r="AP84" s="1012">
        <f t="shared" si="42"/>
        <v>75</v>
      </c>
      <c r="AQ84" s="1022">
        <v>9</v>
      </c>
      <c r="AR84" s="1013">
        <f t="shared" si="34"/>
        <v>7.777777777777779</v>
      </c>
      <c r="AS84" s="1013">
        <f t="shared" si="35"/>
        <v>13.333333333333336</v>
      </c>
      <c r="AT84" s="1018">
        <v>65</v>
      </c>
      <c r="AU84" s="1019">
        <v>70</v>
      </c>
    </row>
    <row r="85" spans="1:47" ht="14.25" customHeight="1">
      <c r="A85" s="153"/>
      <c r="B85" s="198"/>
      <c r="C85" s="198"/>
      <c r="D85" s="198"/>
      <c r="E85" s="198"/>
      <c r="F85" s="198"/>
      <c r="G85" s="198"/>
      <c r="H85" s="198"/>
      <c r="I85" s="198"/>
      <c r="J85" s="198"/>
      <c r="K85" s="198"/>
      <c r="L85" s="198"/>
      <c r="M85" s="198"/>
      <c r="N85" s="198"/>
      <c r="O85" s="198"/>
      <c r="P85" s="153"/>
      <c r="Q85" s="198"/>
      <c r="R85" s="1420"/>
      <c r="S85" s="1681">
        <f t="shared" si="40"/>
        <v>22</v>
      </c>
      <c r="T85" s="1682">
        <v>0.829</v>
      </c>
      <c r="U85" s="458"/>
      <c r="V85" s="153"/>
      <c r="W85" s="153"/>
      <c r="Z85" s="4"/>
      <c r="AA85" s="523"/>
      <c r="AB85" s="520"/>
      <c r="AC85" s="242"/>
      <c r="AD85" s="107"/>
      <c r="AE85" s="107"/>
      <c r="AF85" s="107"/>
      <c r="AG85" s="187"/>
      <c r="AH85" s="107"/>
      <c r="AI85" s="4"/>
      <c r="AJ85" s="1025" t="s">
        <v>1582</v>
      </c>
      <c r="AK85" s="1009" t="s">
        <v>1040</v>
      </c>
      <c r="AL85" s="1010" t="s">
        <v>1024</v>
      </c>
      <c r="AM85" s="1009" t="s">
        <v>1069</v>
      </c>
      <c r="AN85" s="1011">
        <v>74</v>
      </c>
      <c r="AO85" s="1011">
        <v>79</v>
      </c>
      <c r="AP85" s="1012">
        <f t="shared" si="42"/>
        <v>76.5</v>
      </c>
      <c r="AQ85" s="1022">
        <v>12</v>
      </c>
      <c r="AR85" s="1013">
        <f t="shared" si="34"/>
        <v>23.333333333333336</v>
      </c>
      <c r="AS85" s="1013">
        <f t="shared" si="35"/>
        <v>35</v>
      </c>
      <c r="AT85" s="1014">
        <v>59</v>
      </c>
      <c r="AU85" s="1014">
        <v>68</v>
      </c>
    </row>
    <row r="86" spans="1:47" ht="14.25" customHeight="1">
      <c r="A86" s="153"/>
      <c r="B86" s="198"/>
      <c r="C86" s="198"/>
      <c r="D86" s="198"/>
      <c r="E86" s="198"/>
      <c r="F86" s="198"/>
      <c r="G86" s="198"/>
      <c r="H86" s="198"/>
      <c r="I86" s="198"/>
      <c r="J86" s="198"/>
      <c r="K86" s="198"/>
      <c r="L86" s="198"/>
      <c r="M86" s="198"/>
      <c r="N86" s="198"/>
      <c r="O86" s="198"/>
      <c r="P86" s="153"/>
      <c r="Q86" s="198"/>
      <c r="R86" s="1420"/>
      <c r="S86" s="1681">
        <f t="shared" si="40"/>
        <v>23</v>
      </c>
      <c r="T86" s="1682">
        <v>0.804</v>
      </c>
      <c r="U86" s="458"/>
      <c r="V86" s="153"/>
      <c r="W86" s="153"/>
      <c r="Z86" s="4"/>
      <c r="AA86" s="523"/>
      <c r="AB86" s="520"/>
      <c r="AC86" s="242"/>
      <c r="AD86" s="107"/>
      <c r="AE86" s="107"/>
      <c r="AF86" s="107"/>
      <c r="AG86" s="187"/>
      <c r="AH86" s="107"/>
      <c r="AI86" s="4"/>
      <c r="AJ86" s="1009" t="s">
        <v>1583</v>
      </c>
      <c r="AK86" s="1009" t="s">
        <v>1040</v>
      </c>
      <c r="AL86" s="1010" t="s">
        <v>1024</v>
      </c>
      <c r="AM86" s="1009" t="s">
        <v>1036</v>
      </c>
      <c r="AN86" s="1011">
        <v>72</v>
      </c>
      <c r="AO86" s="1011">
        <v>76</v>
      </c>
      <c r="AP86" s="1012">
        <f t="shared" si="42"/>
        <v>74</v>
      </c>
      <c r="AQ86" s="1022">
        <v>12</v>
      </c>
      <c r="AR86" s="1013">
        <f aca="true" t="shared" si="43" ref="AR86:AR117">((AT92+40)*5/9)-40</f>
        <v>17.22222222222222</v>
      </c>
      <c r="AS86" s="1013">
        <f aca="true" t="shared" si="44" ref="AS86:AS117">((AU92+40)*5/9)-40</f>
        <v>24.444444444444443</v>
      </c>
      <c r="AT86" s="1014">
        <v>65</v>
      </c>
      <c r="AU86" s="1014">
        <v>68</v>
      </c>
    </row>
    <row r="87" spans="1:47" ht="14.25" customHeight="1">
      <c r="A87" s="153"/>
      <c r="B87" s="198"/>
      <c r="C87" s="198"/>
      <c r="D87" s="198"/>
      <c r="E87" s="198"/>
      <c r="F87" s="198"/>
      <c r="G87" s="198"/>
      <c r="H87" s="198"/>
      <c r="I87" s="198"/>
      <c r="J87" s="198"/>
      <c r="K87" s="198"/>
      <c r="L87" s="198"/>
      <c r="M87" s="198"/>
      <c r="N87" s="198"/>
      <c r="O87" s="198"/>
      <c r="P87" s="153"/>
      <c r="Q87" s="198"/>
      <c r="R87" s="1420"/>
      <c r="S87" s="1681">
        <f t="shared" si="40"/>
        <v>24</v>
      </c>
      <c r="T87" s="1682">
        <v>0.781</v>
      </c>
      <c r="U87" s="458"/>
      <c r="V87" s="153"/>
      <c r="W87" s="153"/>
      <c r="Z87" s="4"/>
      <c r="AA87" s="523"/>
      <c r="AB87" s="520"/>
      <c r="AC87" s="242"/>
      <c r="AD87" s="107"/>
      <c r="AE87" s="107"/>
      <c r="AF87" s="107"/>
      <c r="AG87" s="187"/>
      <c r="AH87" s="107"/>
      <c r="AI87" s="4"/>
      <c r="AJ87" s="1023" t="s">
        <v>1584</v>
      </c>
      <c r="AK87" s="1016" t="s">
        <v>1031</v>
      </c>
      <c r="AL87" s="1010" t="s">
        <v>1024</v>
      </c>
      <c r="AM87" s="1009" t="s">
        <v>1028</v>
      </c>
      <c r="AN87" s="1024">
        <v>68</v>
      </c>
      <c r="AO87" s="1011">
        <v>75</v>
      </c>
      <c r="AP87" s="1012">
        <f t="shared" si="42"/>
        <v>71.5</v>
      </c>
      <c r="AQ87" s="1022" t="s">
        <v>1034</v>
      </c>
      <c r="AR87" s="1013">
        <f t="shared" si="43"/>
        <v>17.22222222222222</v>
      </c>
      <c r="AS87" s="1017">
        <f t="shared" si="44"/>
        <v>22.77777777777778</v>
      </c>
      <c r="AT87" s="1014">
        <v>64</v>
      </c>
      <c r="AU87" s="1014">
        <v>72</v>
      </c>
    </row>
    <row r="88" spans="1:47" ht="14.25" customHeight="1">
      <c r="A88" s="153"/>
      <c r="B88" s="198"/>
      <c r="C88" s="198"/>
      <c r="D88" s="198"/>
      <c r="E88" s="198"/>
      <c r="F88" s="198"/>
      <c r="G88" s="198"/>
      <c r="H88" s="198"/>
      <c r="I88" s="198"/>
      <c r="J88" s="198"/>
      <c r="K88" s="198"/>
      <c r="L88" s="198"/>
      <c r="M88" s="198"/>
      <c r="N88" s="198"/>
      <c r="O88" s="198"/>
      <c r="P88" s="153"/>
      <c r="Q88" s="198"/>
      <c r="R88" s="1420"/>
      <c r="S88" s="1681">
        <f t="shared" si="40"/>
        <v>25</v>
      </c>
      <c r="T88" s="1682">
        <v>0.759</v>
      </c>
      <c r="U88" s="458"/>
      <c r="V88" s="153"/>
      <c r="W88" s="153"/>
      <c r="Z88" s="4"/>
      <c r="AA88" s="523"/>
      <c r="AB88" s="520"/>
      <c r="AC88" s="242"/>
      <c r="AD88" s="107"/>
      <c r="AE88" s="107"/>
      <c r="AF88" s="107"/>
      <c r="AG88" s="187"/>
      <c r="AH88" s="107"/>
      <c r="AI88" s="4"/>
      <c r="AJ88" s="1023" t="s">
        <v>1585</v>
      </c>
      <c r="AK88" s="1009" t="s">
        <v>1040</v>
      </c>
      <c r="AL88" s="1010" t="s">
        <v>1024</v>
      </c>
      <c r="AM88" s="1009" t="s">
        <v>1036</v>
      </c>
      <c r="AN88" s="1011">
        <v>77</v>
      </c>
      <c r="AO88" s="1011">
        <v>83</v>
      </c>
      <c r="AP88" s="1012">
        <f t="shared" si="42"/>
        <v>80</v>
      </c>
      <c r="AQ88" s="1022">
        <v>12</v>
      </c>
      <c r="AR88" s="1013">
        <f t="shared" si="43"/>
        <v>18.333333333333336</v>
      </c>
      <c r="AS88" s="1013">
        <f t="shared" si="44"/>
        <v>25</v>
      </c>
      <c r="AT88" s="1014">
        <v>66</v>
      </c>
      <c r="AU88" s="1014">
        <v>70</v>
      </c>
    </row>
    <row r="89" spans="1:47" ht="14.25" customHeight="1">
      <c r="A89" s="153"/>
      <c r="B89" s="198"/>
      <c r="C89" s="198"/>
      <c r="D89" s="198"/>
      <c r="E89" s="198"/>
      <c r="F89" s="198"/>
      <c r="G89" s="198"/>
      <c r="H89" s="198"/>
      <c r="I89" s="198"/>
      <c r="J89" s="198"/>
      <c r="K89" s="198"/>
      <c r="L89" s="198"/>
      <c r="M89" s="198"/>
      <c r="N89" s="198"/>
      <c r="O89" s="198"/>
      <c r="P89" s="153"/>
      <c r="Q89" s="198"/>
      <c r="R89" s="1420"/>
      <c r="S89" s="1681">
        <f t="shared" si="40"/>
        <v>26</v>
      </c>
      <c r="T89" s="1682">
        <v>0.738</v>
      </c>
      <c r="U89" s="458"/>
      <c r="V89" s="153"/>
      <c r="W89" s="153"/>
      <c r="Z89" s="4"/>
      <c r="AA89" s="523"/>
      <c r="AB89" s="520"/>
      <c r="AC89" s="242"/>
      <c r="AD89" s="107"/>
      <c r="AE89" s="107"/>
      <c r="AF89" s="107"/>
      <c r="AG89" s="187"/>
      <c r="AH89" s="107"/>
      <c r="AI89" s="4"/>
      <c r="AJ89" s="1025" t="s">
        <v>1586</v>
      </c>
      <c r="AK89" s="1009" t="s">
        <v>1040</v>
      </c>
      <c r="AL89" s="1010" t="s">
        <v>1024</v>
      </c>
      <c r="AM89" s="1009" t="s">
        <v>1028</v>
      </c>
      <c r="AN89" s="1011">
        <v>71</v>
      </c>
      <c r="AO89" s="1011">
        <v>75</v>
      </c>
      <c r="AP89" s="1012">
        <f t="shared" si="42"/>
        <v>73</v>
      </c>
      <c r="AQ89" s="1022">
        <v>9</v>
      </c>
      <c r="AR89" s="1013">
        <f t="shared" si="43"/>
        <v>7.777777777777779</v>
      </c>
      <c r="AS89" s="1013">
        <f t="shared" si="44"/>
        <v>13.333333333333336</v>
      </c>
      <c r="AT89" s="1014">
        <v>65</v>
      </c>
      <c r="AU89" s="1014">
        <v>70</v>
      </c>
    </row>
    <row r="90" spans="1:47" ht="14.25" customHeight="1">
      <c r="A90" s="153"/>
      <c r="B90" s="198"/>
      <c r="C90" s="198"/>
      <c r="D90" s="198"/>
      <c r="E90" s="198"/>
      <c r="F90" s="198"/>
      <c r="G90" s="198"/>
      <c r="H90" s="198"/>
      <c r="I90" s="198"/>
      <c r="J90" s="198"/>
      <c r="K90" s="198"/>
      <c r="L90" s="198"/>
      <c r="M90" s="198"/>
      <c r="N90" s="198"/>
      <c r="O90" s="198"/>
      <c r="P90" s="153"/>
      <c r="Q90" s="198"/>
      <c r="R90" s="1420"/>
      <c r="S90" s="1681">
        <f t="shared" si="40"/>
        <v>27</v>
      </c>
      <c r="T90" s="1682">
        <v>0.718</v>
      </c>
      <c r="U90" s="458"/>
      <c r="V90" s="153"/>
      <c r="W90" s="153"/>
      <c r="Z90" s="4"/>
      <c r="AA90" s="523"/>
      <c r="AB90" s="520"/>
      <c r="AC90" s="242"/>
      <c r="AD90" s="107"/>
      <c r="AE90" s="107"/>
      <c r="AF90" s="107"/>
      <c r="AG90" s="187"/>
      <c r="AH90" s="107"/>
      <c r="AI90" s="4"/>
      <c r="AJ90" s="1009" t="s">
        <v>1587</v>
      </c>
      <c r="AK90" s="1009" t="s">
        <v>1040</v>
      </c>
      <c r="AL90" s="1010" t="s">
        <v>1024</v>
      </c>
      <c r="AM90" s="1009" t="s">
        <v>1036</v>
      </c>
      <c r="AN90" s="1011">
        <v>73</v>
      </c>
      <c r="AO90" s="1011">
        <v>77</v>
      </c>
      <c r="AP90" s="1012">
        <f t="shared" si="42"/>
        <v>75</v>
      </c>
      <c r="AQ90" s="1022">
        <v>11</v>
      </c>
      <c r="AR90" s="1013">
        <f t="shared" si="43"/>
        <v>12.777777777777779</v>
      </c>
      <c r="AS90" s="1013">
        <f t="shared" si="44"/>
        <v>20</v>
      </c>
      <c r="AT90" s="1014">
        <v>46</v>
      </c>
      <c r="AU90" s="1014">
        <v>56</v>
      </c>
    </row>
    <row r="91" spans="1:47" ht="14.25" customHeight="1">
      <c r="A91" s="201"/>
      <c r="B91" s="367"/>
      <c r="C91" s="367"/>
      <c r="D91" s="367"/>
      <c r="E91" s="367"/>
      <c r="F91" s="367"/>
      <c r="G91" s="367"/>
      <c r="H91" s="201"/>
      <c r="I91" s="201"/>
      <c r="J91" s="2519"/>
      <c r="K91" s="2519"/>
      <c r="L91" s="2519"/>
      <c r="M91" s="2519"/>
      <c r="N91" s="2557" t="s">
        <v>462</v>
      </c>
      <c r="O91" s="2557"/>
      <c r="P91" s="2557"/>
      <c r="Q91" s="2557"/>
      <c r="R91" s="2557"/>
      <c r="S91" s="1681">
        <f t="shared" si="40"/>
        <v>28</v>
      </c>
      <c r="T91" s="1682">
        <v>0.699</v>
      </c>
      <c r="U91" s="458"/>
      <c r="V91" s="153"/>
      <c r="W91" s="153"/>
      <c r="Z91" s="4"/>
      <c r="AA91" s="523"/>
      <c r="AB91" s="520"/>
      <c r="AC91" s="242"/>
      <c r="AD91" s="107"/>
      <c r="AE91" s="107"/>
      <c r="AF91" s="107"/>
      <c r="AG91" s="187"/>
      <c r="AH91" s="107"/>
      <c r="AI91" s="4"/>
      <c r="AJ91" s="1009" t="s">
        <v>1588</v>
      </c>
      <c r="AK91" s="1009" t="s">
        <v>1023</v>
      </c>
      <c r="AL91" s="1010" t="s">
        <v>1024</v>
      </c>
      <c r="AM91" s="1009" t="s">
        <v>1025</v>
      </c>
      <c r="AN91" s="1011">
        <v>73</v>
      </c>
      <c r="AO91" s="1011">
        <v>80</v>
      </c>
      <c r="AP91" s="1012">
        <f t="shared" si="42"/>
        <v>76.5</v>
      </c>
      <c r="AQ91" s="1006" t="s">
        <v>1026</v>
      </c>
      <c r="AR91" s="1013">
        <f t="shared" si="43"/>
        <v>18.333333333333336</v>
      </c>
      <c r="AS91" s="1013">
        <f t="shared" si="44"/>
        <v>21.111111111111114</v>
      </c>
      <c r="AT91" s="1014">
        <v>74</v>
      </c>
      <c r="AU91" s="1014">
        <v>95</v>
      </c>
    </row>
    <row r="92" spans="1:47" ht="14.25" customHeight="1">
      <c r="A92" s="4"/>
      <c r="B92" s="2693" t="s">
        <v>309</v>
      </c>
      <c r="C92" s="2693"/>
      <c r="D92" s="201"/>
      <c r="E92" s="201"/>
      <c r="F92" s="201"/>
      <c r="G92" s="201"/>
      <c r="H92" s="201"/>
      <c r="I92" s="201"/>
      <c r="J92" s="2673" t="s">
        <v>284</v>
      </c>
      <c r="K92" s="2673"/>
      <c r="L92" s="2673"/>
      <c r="M92" s="2673"/>
      <c r="N92" s="2670" t="s">
        <v>319</v>
      </c>
      <c r="O92" s="2670"/>
      <c r="P92" s="2670"/>
      <c r="Q92" s="2670"/>
      <c r="R92" s="2670"/>
      <c r="S92" s="1681">
        <f t="shared" si="40"/>
        <v>29</v>
      </c>
      <c r="T92" s="1682">
        <v>0.682</v>
      </c>
      <c r="U92" s="458"/>
      <c r="V92" s="153"/>
      <c r="W92" s="153"/>
      <c r="Z92" s="4"/>
      <c r="AA92" s="521"/>
      <c r="AB92" s="520"/>
      <c r="AC92" s="242"/>
      <c r="AD92" s="107"/>
      <c r="AE92" s="107"/>
      <c r="AF92" s="107"/>
      <c r="AG92" s="187"/>
      <c r="AH92" s="107"/>
      <c r="AI92" s="4"/>
      <c r="AJ92" s="1009" t="s">
        <v>1589</v>
      </c>
      <c r="AK92" s="1009" t="s">
        <v>1023</v>
      </c>
      <c r="AL92" s="1010" t="s">
        <v>1024</v>
      </c>
      <c r="AM92" s="1009" t="s">
        <v>1025</v>
      </c>
      <c r="AN92" s="1011">
        <v>72</v>
      </c>
      <c r="AO92" s="1011">
        <v>78</v>
      </c>
      <c r="AP92" s="1012">
        <f t="shared" si="42"/>
        <v>75</v>
      </c>
      <c r="AQ92" s="1006" t="s">
        <v>1026</v>
      </c>
      <c r="AR92" s="1013">
        <f t="shared" si="43"/>
        <v>18.333333333333336</v>
      </c>
      <c r="AS92" s="1013">
        <f t="shared" si="44"/>
        <v>20.555555555555557</v>
      </c>
      <c r="AT92" s="1014">
        <v>63</v>
      </c>
      <c r="AU92" s="1014">
        <v>76</v>
      </c>
    </row>
    <row r="93" spans="1:47" ht="14.25" customHeight="1">
      <c r="A93" s="4"/>
      <c r="B93" s="2692" t="s">
        <v>310</v>
      </c>
      <c r="C93" s="2692"/>
      <c r="D93" s="201"/>
      <c r="E93" s="201"/>
      <c r="F93" s="201"/>
      <c r="G93" s="201"/>
      <c r="H93" s="201"/>
      <c r="I93" s="201"/>
      <c r="J93" s="2674" t="s">
        <v>380</v>
      </c>
      <c r="K93" s="2674"/>
      <c r="L93" s="2674"/>
      <c r="M93" s="2674"/>
      <c r="N93" s="2670" t="s">
        <v>381</v>
      </c>
      <c r="O93" s="2670"/>
      <c r="P93" s="2670"/>
      <c r="Q93" s="2670"/>
      <c r="R93" s="2670"/>
      <c r="S93" s="1683">
        <f t="shared" si="40"/>
        <v>30</v>
      </c>
      <c r="T93" s="1684">
        <v>0.665</v>
      </c>
      <c r="U93" s="21"/>
      <c r="V93" s="111"/>
      <c r="W93" s="111"/>
      <c r="Z93" s="153"/>
      <c r="AA93" s="522"/>
      <c r="AB93" s="296"/>
      <c r="AC93" s="153"/>
      <c r="AD93" s="153"/>
      <c r="AE93" s="153"/>
      <c r="AF93" s="347"/>
      <c r="AG93" s="347"/>
      <c r="AH93" s="107"/>
      <c r="AI93" s="4"/>
      <c r="AJ93" s="1009" t="s">
        <v>1590</v>
      </c>
      <c r="AK93" s="1009" t="s">
        <v>1023</v>
      </c>
      <c r="AL93" s="1010" t="s">
        <v>1024</v>
      </c>
      <c r="AM93" s="1009" t="s">
        <v>1025</v>
      </c>
      <c r="AN93" s="1011">
        <v>70</v>
      </c>
      <c r="AO93" s="1011">
        <v>76</v>
      </c>
      <c r="AP93" s="1012">
        <f t="shared" si="42"/>
        <v>73</v>
      </c>
      <c r="AQ93" s="1006" t="s">
        <v>1038</v>
      </c>
      <c r="AR93" s="1013">
        <f t="shared" si="43"/>
        <v>8.888888888888886</v>
      </c>
      <c r="AS93" s="1013">
        <f t="shared" si="44"/>
        <v>12.777777777777779</v>
      </c>
      <c r="AT93" s="1018">
        <v>63</v>
      </c>
      <c r="AU93" s="1019">
        <v>73</v>
      </c>
    </row>
    <row r="94" spans="1:47" ht="14.25" customHeight="1">
      <c r="A94" s="4"/>
      <c r="B94" s="119"/>
      <c r="C94" s="201"/>
      <c r="D94" s="201"/>
      <c r="E94" s="201"/>
      <c r="F94" s="201"/>
      <c r="G94" s="201"/>
      <c r="H94" s="355"/>
      <c r="I94" s="201"/>
      <c r="J94" s="2674" t="s">
        <v>644</v>
      </c>
      <c r="K94" s="2674"/>
      <c r="L94" s="2674"/>
      <c r="M94" s="2674"/>
      <c r="N94" s="2793" t="s">
        <v>645</v>
      </c>
      <c r="O94" s="2793"/>
      <c r="P94" s="2793"/>
      <c r="Q94" s="2793"/>
      <c r="R94" s="2793"/>
      <c r="U94" s="153"/>
      <c r="V94" s="153"/>
      <c r="W94" s="153"/>
      <c r="Z94" s="153"/>
      <c r="AA94" s="153"/>
      <c r="AB94" s="153"/>
      <c r="AC94" s="153"/>
      <c r="AD94" s="153"/>
      <c r="AE94" s="153"/>
      <c r="AF94" s="347"/>
      <c r="AG94" s="347"/>
      <c r="AH94" s="347"/>
      <c r="AI94" s="4"/>
      <c r="AJ94" s="1009" t="s">
        <v>1591</v>
      </c>
      <c r="AK94" s="1009" t="s">
        <v>1023</v>
      </c>
      <c r="AL94" s="1010" t="s">
        <v>1024</v>
      </c>
      <c r="AM94" s="1009" t="s">
        <v>1025</v>
      </c>
      <c r="AN94" s="1011">
        <v>74</v>
      </c>
      <c r="AO94" s="1011">
        <v>79</v>
      </c>
      <c r="AP94" s="1012">
        <f t="shared" si="42"/>
        <v>76.5</v>
      </c>
      <c r="AQ94" s="1006" t="s">
        <v>1026</v>
      </c>
      <c r="AR94" s="1013">
        <f t="shared" si="43"/>
        <v>10</v>
      </c>
      <c r="AS94" s="1013">
        <f t="shared" si="44"/>
        <v>12.777777777777779</v>
      </c>
      <c r="AT94" s="1014">
        <v>65</v>
      </c>
      <c r="AU94" s="1014">
        <v>77</v>
      </c>
    </row>
    <row r="95" spans="1:47" ht="14.25" customHeight="1">
      <c r="A95" s="4"/>
      <c r="B95" s="2690" t="s">
        <v>375</v>
      </c>
      <c r="C95" s="2690"/>
      <c r="D95" s="2690"/>
      <c r="E95" s="2690"/>
      <c r="F95" s="2690"/>
      <c r="G95" s="2690"/>
      <c r="H95" s="201"/>
      <c r="I95" s="201"/>
      <c r="J95" s="2674" t="s">
        <v>320</v>
      </c>
      <c r="K95" s="2674"/>
      <c r="L95" s="2674"/>
      <c r="M95" s="2674"/>
      <c r="N95" s="2672" t="s">
        <v>321</v>
      </c>
      <c r="O95" s="2672"/>
      <c r="P95" s="2672"/>
      <c r="Q95" s="2672"/>
      <c r="R95" s="2672"/>
      <c r="S95" s="331"/>
      <c r="T95" s="331"/>
      <c r="U95" s="331"/>
      <c r="V95" s="153"/>
      <c r="W95" s="153"/>
      <c r="Z95" s="153"/>
      <c r="AA95" s="153"/>
      <c r="AB95" s="153"/>
      <c r="AC95" s="327" t="s">
        <v>490</v>
      </c>
      <c r="AD95" s="327" t="s">
        <v>490</v>
      </c>
      <c r="AE95" s="327" t="s">
        <v>490</v>
      </c>
      <c r="AF95" s="327" t="s">
        <v>490</v>
      </c>
      <c r="AG95" s="327" t="s">
        <v>490</v>
      </c>
      <c r="AH95" s="327" t="s">
        <v>383</v>
      </c>
      <c r="AI95" s="4"/>
      <c r="AJ95" s="1009" t="s">
        <v>1592</v>
      </c>
      <c r="AK95" s="1009" t="s">
        <v>1040</v>
      </c>
      <c r="AL95" s="1010" t="s">
        <v>1024</v>
      </c>
      <c r="AM95" s="1009" t="s">
        <v>1020</v>
      </c>
      <c r="AN95" s="1011">
        <v>70</v>
      </c>
      <c r="AO95" s="1011">
        <v>76</v>
      </c>
      <c r="AP95" s="1012">
        <f t="shared" si="42"/>
        <v>73</v>
      </c>
      <c r="AQ95" s="1022">
        <v>10</v>
      </c>
      <c r="AR95" s="1013">
        <f t="shared" si="43"/>
        <v>17.22222222222222</v>
      </c>
      <c r="AS95" s="1013">
        <f t="shared" si="44"/>
        <v>23.888888888888886</v>
      </c>
      <c r="AT95" s="1014">
        <v>46</v>
      </c>
      <c r="AU95" s="1014">
        <v>56</v>
      </c>
    </row>
    <row r="96" spans="1:47" ht="14.25" customHeight="1">
      <c r="A96" s="153"/>
      <c r="B96" s="114"/>
      <c r="C96" s="114"/>
      <c r="D96" s="114"/>
      <c r="E96" s="114"/>
      <c r="F96" s="114"/>
      <c r="G96" s="114"/>
      <c r="H96" s="114"/>
      <c r="I96" s="114"/>
      <c r="J96" s="114"/>
      <c r="K96" s="114"/>
      <c r="L96" s="114"/>
      <c r="M96" s="114"/>
      <c r="N96" s="114"/>
      <c r="O96" s="114"/>
      <c r="P96" s="346"/>
      <c r="Q96" s="346"/>
      <c r="R96" s="346"/>
      <c r="S96" s="331"/>
      <c r="T96" s="331"/>
      <c r="U96" s="331"/>
      <c r="V96" s="153"/>
      <c r="W96" s="153"/>
      <c r="Z96" s="153"/>
      <c r="AA96" s="153"/>
      <c r="AB96" s="153"/>
      <c r="AC96" s="153"/>
      <c r="AD96" s="153"/>
      <c r="AE96" s="374"/>
      <c r="AF96" s="347"/>
      <c r="AG96" s="347"/>
      <c r="AH96" s="242"/>
      <c r="AI96" s="4"/>
      <c r="AJ96" s="1009" t="s">
        <v>1593</v>
      </c>
      <c r="AK96" s="1009" t="s">
        <v>1023</v>
      </c>
      <c r="AL96" s="1010" t="s">
        <v>1024</v>
      </c>
      <c r="AM96" s="1009" t="s">
        <v>352</v>
      </c>
      <c r="AN96" s="1011">
        <v>72</v>
      </c>
      <c r="AO96" s="1011">
        <v>76</v>
      </c>
      <c r="AP96" s="1012">
        <f t="shared" si="42"/>
        <v>74</v>
      </c>
      <c r="AQ96" s="1006" t="s">
        <v>1026</v>
      </c>
      <c r="AR96" s="1013">
        <f t="shared" si="43"/>
        <v>20</v>
      </c>
      <c r="AS96" s="1013">
        <f t="shared" si="44"/>
        <v>22.22222222222222</v>
      </c>
      <c r="AT96" s="1014">
        <v>55</v>
      </c>
      <c r="AU96" s="1014">
        <v>68</v>
      </c>
    </row>
    <row r="97" spans="1:47" ht="14.25" customHeight="1">
      <c r="A97" s="2771" t="s">
        <v>47</v>
      </c>
      <c r="B97" s="2466"/>
      <c r="C97" s="2466"/>
      <c r="D97" s="2466"/>
      <c r="E97" s="2466"/>
      <c r="F97" s="2466"/>
      <c r="G97" s="2466"/>
      <c r="H97" s="2466"/>
      <c r="I97" s="2466"/>
      <c r="J97" s="114"/>
      <c r="K97" s="114"/>
      <c r="L97" s="114"/>
      <c r="M97" s="114"/>
      <c r="N97" s="114"/>
      <c r="O97" s="114"/>
      <c r="P97" s="346"/>
      <c r="Q97" s="346"/>
      <c r="R97" s="346"/>
      <c r="S97" s="153"/>
      <c r="T97" s="153"/>
      <c r="U97" s="153"/>
      <c r="V97" s="153"/>
      <c r="W97" s="153"/>
      <c r="Z97" s="153"/>
      <c r="AA97" s="153"/>
      <c r="AB97" s="153"/>
      <c r="AC97" s="153"/>
      <c r="AD97" s="153"/>
      <c r="AE97" s="347"/>
      <c r="AF97" s="347"/>
      <c r="AG97" s="347"/>
      <c r="AH97" s="242"/>
      <c r="AI97" s="4"/>
      <c r="AJ97" s="1009" t="s">
        <v>1594</v>
      </c>
      <c r="AK97" s="1009" t="s">
        <v>1023</v>
      </c>
      <c r="AL97" s="1010" t="s">
        <v>1024</v>
      </c>
      <c r="AM97" s="1009" t="s">
        <v>1036</v>
      </c>
      <c r="AN97" s="1011">
        <v>73</v>
      </c>
      <c r="AO97" s="1011">
        <v>80</v>
      </c>
      <c r="AP97" s="1012">
        <f t="shared" si="42"/>
        <v>76.5</v>
      </c>
      <c r="AQ97" s="1006" t="s">
        <v>1026</v>
      </c>
      <c r="AR97" s="1013">
        <f t="shared" si="43"/>
        <v>18.888888888888886</v>
      </c>
      <c r="AS97" s="1013">
        <f t="shared" si="44"/>
        <v>21.111111111111114</v>
      </c>
      <c r="AT97" s="1014">
        <v>65</v>
      </c>
      <c r="AU97" s="1014">
        <v>70</v>
      </c>
    </row>
    <row r="98" spans="1:47" ht="14.25" customHeight="1">
      <c r="A98" s="561"/>
      <c r="B98" s="1467" t="s">
        <v>66</v>
      </c>
      <c r="C98" s="375" t="s">
        <v>153</v>
      </c>
      <c r="D98" s="375" t="s">
        <v>154</v>
      </c>
      <c r="E98" s="375" t="s">
        <v>155</v>
      </c>
      <c r="F98" s="2144" t="s">
        <v>153</v>
      </c>
      <c r="G98" s="107"/>
      <c r="H98" s="109"/>
      <c r="I98" s="2143"/>
      <c r="J98" s="114"/>
      <c r="K98" s="114"/>
      <c r="L98" s="114"/>
      <c r="M98" s="114"/>
      <c r="N98" s="114"/>
      <c r="O98" s="114"/>
      <c r="P98" s="346"/>
      <c r="Q98" s="346"/>
      <c r="R98" s="346"/>
      <c r="S98" s="113"/>
      <c r="T98" s="113"/>
      <c r="U98" s="113"/>
      <c r="V98" s="153"/>
      <c r="W98" s="153"/>
      <c r="Z98" s="153"/>
      <c r="AA98" s="153"/>
      <c r="AB98" s="153"/>
      <c r="AC98" s="153"/>
      <c r="AD98" s="153"/>
      <c r="AE98" s="347"/>
      <c r="AF98" s="347"/>
      <c r="AG98" s="347"/>
      <c r="AH98" s="242"/>
      <c r="AI98" s="4"/>
      <c r="AJ98" s="1009" t="s">
        <v>1595</v>
      </c>
      <c r="AK98" s="1009" t="s">
        <v>1040</v>
      </c>
      <c r="AL98" s="1010" t="s">
        <v>1024</v>
      </c>
      <c r="AM98" s="1009" t="s">
        <v>1025</v>
      </c>
      <c r="AN98" s="1011">
        <v>71</v>
      </c>
      <c r="AO98" s="1011">
        <v>75</v>
      </c>
      <c r="AP98" s="1012">
        <f t="shared" si="42"/>
        <v>73</v>
      </c>
      <c r="AQ98" s="1022">
        <v>12</v>
      </c>
      <c r="AR98" s="1013">
        <f t="shared" si="43"/>
        <v>15.555555555555557</v>
      </c>
      <c r="AS98" s="1013">
        <f t="shared" si="44"/>
        <v>22.22222222222222</v>
      </c>
      <c r="AT98" s="1014">
        <v>65</v>
      </c>
      <c r="AU98" s="1014">
        <v>69</v>
      </c>
    </row>
    <row r="99" spans="1:47" ht="14.25" customHeight="1">
      <c r="A99" s="560"/>
      <c r="B99" s="570"/>
      <c r="C99" s="410" t="s">
        <v>410</v>
      </c>
      <c r="D99" s="411" t="s">
        <v>156</v>
      </c>
      <c r="E99" s="411" t="s">
        <v>412</v>
      </c>
      <c r="F99" s="2145" t="s">
        <v>126</v>
      </c>
      <c r="G99" s="107"/>
      <c r="H99" s="109"/>
      <c r="I99" s="2143"/>
      <c r="J99" s="114"/>
      <c r="K99" s="114"/>
      <c r="L99" s="114"/>
      <c r="M99" s="114"/>
      <c r="N99" s="114"/>
      <c r="O99" s="114"/>
      <c r="P99" s="346"/>
      <c r="Q99" s="346"/>
      <c r="R99" s="346"/>
      <c r="S99" s="113"/>
      <c r="T99" s="113"/>
      <c r="U99" s="113"/>
      <c r="V99" s="153"/>
      <c r="W99" s="153"/>
      <c r="Z99" s="153"/>
      <c r="AA99" s="153"/>
      <c r="AB99" s="153"/>
      <c r="AC99" s="153"/>
      <c r="AD99" s="153"/>
      <c r="AE99" s="347"/>
      <c r="AF99" s="347"/>
      <c r="AG99" s="347"/>
      <c r="AH99" s="242"/>
      <c r="AI99" s="4"/>
      <c r="AJ99" s="1009" t="s">
        <v>1596</v>
      </c>
      <c r="AK99" s="1009" t="s">
        <v>1023</v>
      </c>
      <c r="AL99" s="1010" t="s">
        <v>1024</v>
      </c>
      <c r="AM99" s="1009" t="s">
        <v>1047</v>
      </c>
      <c r="AN99" s="1011">
        <v>63</v>
      </c>
      <c r="AO99" s="1011">
        <v>70</v>
      </c>
      <c r="AP99" s="1012">
        <f t="shared" si="42"/>
        <v>66.5</v>
      </c>
      <c r="AQ99" s="1006" t="s">
        <v>1026</v>
      </c>
      <c r="AR99" s="1013">
        <f t="shared" si="43"/>
        <v>18.333333333333336</v>
      </c>
      <c r="AS99" s="1013">
        <f t="shared" si="44"/>
        <v>20</v>
      </c>
      <c r="AT99" s="1014">
        <v>48</v>
      </c>
      <c r="AU99" s="1014">
        <v>55</v>
      </c>
    </row>
    <row r="100" spans="1:47" ht="14.25" customHeight="1">
      <c r="A100" s="2786" t="s">
        <v>583</v>
      </c>
      <c r="B100" s="100" t="s">
        <v>157</v>
      </c>
      <c r="C100" s="116">
        <f>F100*$C$24/100</f>
        <v>225</v>
      </c>
      <c r="D100" s="100">
        <v>0.62</v>
      </c>
      <c r="E100" s="116">
        <f>(H$131*I$131)/100</f>
        <v>4.1</v>
      </c>
      <c r="F100" s="2146">
        <f>G$131/0.11983</f>
        <v>300</v>
      </c>
      <c r="G100" s="107"/>
      <c r="H100" s="109"/>
      <c r="I100" s="2143"/>
      <c r="J100" s="114"/>
      <c r="K100" s="114"/>
      <c r="L100" s="114"/>
      <c r="M100" s="114"/>
      <c r="N100" s="114"/>
      <c r="O100" s="114"/>
      <c r="P100" s="346"/>
      <c r="Q100" s="346"/>
      <c r="R100" s="346"/>
      <c r="S100" s="153"/>
      <c r="T100" s="153"/>
      <c r="U100" s="153"/>
      <c r="V100" s="153"/>
      <c r="W100" s="153"/>
      <c r="Z100" s="153"/>
      <c r="AA100" s="153"/>
      <c r="AB100" s="153"/>
      <c r="AC100" s="4"/>
      <c r="AD100" s="4"/>
      <c r="AE100" s="181"/>
      <c r="AF100" s="181"/>
      <c r="AG100" s="181"/>
      <c r="AH100" s="162"/>
      <c r="AI100" s="4"/>
      <c r="AJ100" s="1009" t="s">
        <v>1597</v>
      </c>
      <c r="AK100" s="1009" t="s">
        <v>1040</v>
      </c>
      <c r="AL100" s="1010" t="s">
        <v>1024</v>
      </c>
      <c r="AM100" s="1009" t="s">
        <v>1036</v>
      </c>
      <c r="AN100" s="1011">
        <v>73</v>
      </c>
      <c r="AO100" s="1011">
        <v>77</v>
      </c>
      <c r="AP100" s="1012">
        <f t="shared" si="42"/>
        <v>75</v>
      </c>
      <c r="AQ100" s="1022">
        <v>10</v>
      </c>
      <c r="AR100" s="1013">
        <f t="shared" si="43"/>
        <v>13.333333333333336</v>
      </c>
      <c r="AS100" s="1013">
        <f t="shared" si="44"/>
        <v>21.111111111111114</v>
      </c>
      <c r="AT100" s="1014">
        <v>50</v>
      </c>
      <c r="AU100" s="1014">
        <v>55</v>
      </c>
    </row>
    <row r="101" spans="1:47" ht="14.25" customHeight="1">
      <c r="A101" s="2787"/>
      <c r="B101" s="100" t="s">
        <v>198</v>
      </c>
      <c r="C101" s="116">
        <f>F101*$C$24/100</f>
        <v>228.75</v>
      </c>
      <c r="D101" s="100">
        <v>0.62</v>
      </c>
      <c r="E101" s="116">
        <f>(H$133*I$133)/100</f>
        <v>7.65</v>
      </c>
      <c r="F101" s="2146">
        <f>G$133/0.11983</f>
        <v>305</v>
      </c>
      <c r="G101" s="107"/>
      <c r="H101" s="109"/>
      <c r="I101" s="2143"/>
      <c r="J101" s="114"/>
      <c r="K101" s="114"/>
      <c r="L101" s="114"/>
      <c r="M101" s="114"/>
      <c r="N101" s="114"/>
      <c r="O101" s="114"/>
      <c r="P101" s="346"/>
      <c r="Q101" s="346"/>
      <c r="R101" s="346"/>
      <c r="S101" s="153"/>
      <c r="T101" s="153"/>
      <c r="U101" s="153"/>
      <c r="V101" s="153"/>
      <c r="W101" s="153"/>
      <c r="Z101" s="153"/>
      <c r="AA101" s="153"/>
      <c r="AB101" s="153"/>
      <c r="AC101" s="4"/>
      <c r="AD101" s="4"/>
      <c r="AE101" s="181"/>
      <c r="AF101" s="181"/>
      <c r="AG101" s="181"/>
      <c r="AH101" s="162"/>
      <c r="AI101" s="4"/>
      <c r="AJ101" s="1009" t="s">
        <v>1598</v>
      </c>
      <c r="AK101" s="1009" t="s">
        <v>1040</v>
      </c>
      <c r="AL101" s="1010" t="s">
        <v>1024</v>
      </c>
      <c r="AM101" s="1009" t="s">
        <v>1074</v>
      </c>
      <c r="AN101" s="1020" t="s">
        <v>1074</v>
      </c>
      <c r="AO101" s="1020" t="s">
        <v>1074</v>
      </c>
      <c r="AP101" s="1021" t="s">
        <v>1074</v>
      </c>
      <c r="AQ101" s="1022">
        <v>9</v>
      </c>
      <c r="AR101" s="1013">
        <f t="shared" si="43"/>
        <v>15.555555555555557</v>
      </c>
      <c r="AS101" s="1013">
        <f t="shared" si="44"/>
        <v>35</v>
      </c>
      <c r="AT101" s="1014">
        <v>63</v>
      </c>
      <c r="AU101" s="1014">
        <v>75</v>
      </c>
    </row>
    <row r="102" spans="1:47" ht="14.25" customHeight="1">
      <c r="A102" s="2787"/>
      <c r="B102" s="100" t="s">
        <v>167</v>
      </c>
      <c r="C102" s="116">
        <f>F102*$C$24/100</f>
        <v>225</v>
      </c>
      <c r="D102" s="100">
        <v>0.62</v>
      </c>
      <c r="E102" s="116">
        <f>(H$128*I$128)/100</f>
        <v>2.2</v>
      </c>
      <c r="F102" s="2146">
        <f>G$128/0.11983</f>
        <v>300</v>
      </c>
      <c r="G102" s="107"/>
      <c r="H102" s="109"/>
      <c r="I102" s="2143"/>
      <c r="J102" s="114"/>
      <c r="K102" s="114"/>
      <c r="L102" s="114"/>
      <c r="M102" s="114"/>
      <c r="N102" s="114"/>
      <c r="O102" s="114"/>
      <c r="P102" s="346"/>
      <c r="Q102" s="346"/>
      <c r="R102" s="346"/>
      <c r="S102" s="372"/>
      <c r="T102" s="372"/>
      <c r="U102" s="372"/>
      <c r="V102" s="153"/>
      <c r="W102" s="153"/>
      <c r="Z102" s="153"/>
      <c r="AA102" s="153"/>
      <c r="AB102" s="153"/>
      <c r="AC102" s="4"/>
      <c r="AD102" s="4"/>
      <c r="AE102" s="4"/>
      <c r="AF102" s="4"/>
      <c r="AG102" s="4"/>
      <c r="AH102" s="4"/>
      <c r="AI102" s="4"/>
      <c r="AJ102" s="1025" t="s">
        <v>1599</v>
      </c>
      <c r="AK102" s="1009" t="s">
        <v>1040</v>
      </c>
      <c r="AL102" s="1010" t="s">
        <v>1024</v>
      </c>
      <c r="AM102" s="1009" t="s">
        <v>1074</v>
      </c>
      <c r="AN102" s="1020" t="s">
        <v>1074</v>
      </c>
      <c r="AO102" s="1020" t="s">
        <v>1074</v>
      </c>
      <c r="AP102" s="1021" t="s">
        <v>1074</v>
      </c>
      <c r="AQ102" s="1022" t="s">
        <v>1034</v>
      </c>
      <c r="AR102" s="1013">
        <f t="shared" si="43"/>
        <v>15.555555555555557</v>
      </c>
      <c r="AS102" s="1013">
        <f t="shared" si="44"/>
        <v>35</v>
      </c>
      <c r="AT102" s="1014">
        <v>68</v>
      </c>
      <c r="AU102" s="1014">
        <v>72</v>
      </c>
    </row>
    <row r="103" spans="1:47" ht="14.25" customHeight="1">
      <c r="A103" s="2787"/>
      <c r="B103" s="100" t="s">
        <v>168</v>
      </c>
      <c r="C103" s="116">
        <f>F$137</f>
        <v>309.6052741383627</v>
      </c>
      <c r="D103" s="100">
        <v>0.62</v>
      </c>
      <c r="E103" s="116">
        <f>(H$137*I$137)/100</f>
        <v>10</v>
      </c>
      <c r="F103" s="2146">
        <f>G$137/0.11983</f>
        <v>309.6052741383627</v>
      </c>
      <c r="G103" s="107"/>
      <c r="H103" s="109"/>
      <c r="I103" s="2143"/>
      <c r="J103" s="114"/>
      <c r="K103" s="114"/>
      <c r="L103" s="114"/>
      <c r="M103" s="114"/>
      <c r="N103" s="114"/>
      <c r="O103" s="114"/>
      <c r="P103" s="346"/>
      <c r="Q103" s="346"/>
      <c r="R103" s="346"/>
      <c r="S103" s="346"/>
      <c r="T103" s="346"/>
      <c r="U103" s="346"/>
      <c r="V103" s="153"/>
      <c r="W103" s="153"/>
      <c r="Z103" s="153"/>
      <c r="AA103" s="153"/>
      <c r="AB103" s="153"/>
      <c r="AC103" s="4"/>
      <c r="AD103" s="4"/>
      <c r="AE103" s="4"/>
      <c r="AF103" s="4"/>
      <c r="AG103" s="4"/>
      <c r="AH103" s="4"/>
      <c r="AI103" s="4"/>
      <c r="AJ103" s="1009" t="s">
        <v>1600</v>
      </c>
      <c r="AK103" s="1009" t="s">
        <v>1040</v>
      </c>
      <c r="AL103" s="1010" t="s">
        <v>1024</v>
      </c>
      <c r="AM103" s="1009" t="s">
        <v>1020</v>
      </c>
      <c r="AN103" s="1011">
        <v>75</v>
      </c>
      <c r="AO103" s="1011">
        <v>78</v>
      </c>
      <c r="AP103" s="1012">
        <f aca="true" t="shared" si="45" ref="AP103:AP109">(AN103+AO103)/2</f>
        <v>76.5</v>
      </c>
      <c r="AQ103" s="1022">
        <v>12</v>
      </c>
      <c r="AR103" s="1013">
        <f t="shared" si="43"/>
        <v>18.333333333333336</v>
      </c>
      <c r="AS103" s="1013">
        <f t="shared" si="44"/>
        <v>26.66666666666667</v>
      </c>
      <c r="AT103" s="1014">
        <v>66</v>
      </c>
      <c r="AU103" s="1014">
        <v>70</v>
      </c>
    </row>
    <row r="104" spans="1:47" ht="14.25" customHeight="1">
      <c r="A104" s="2787"/>
      <c r="B104" s="100" t="s">
        <v>211</v>
      </c>
      <c r="C104" s="116">
        <f>F$141</f>
        <v>364.68330134357007</v>
      </c>
      <c r="D104" s="100">
        <v>0.62</v>
      </c>
      <c r="E104" s="116">
        <f>(H$141*I$141)/100</f>
        <v>6</v>
      </c>
      <c r="F104" s="2146">
        <f>G$141/0.11983</f>
        <v>364.68330134357007</v>
      </c>
      <c r="G104" s="107"/>
      <c r="H104" s="109"/>
      <c r="I104" s="2143"/>
      <c r="J104" s="114"/>
      <c r="K104" s="114"/>
      <c r="L104" s="114"/>
      <c r="M104" s="114"/>
      <c r="N104" s="114"/>
      <c r="O104" s="114"/>
      <c r="P104" s="346"/>
      <c r="Q104" s="346"/>
      <c r="R104" s="346"/>
      <c r="S104" s="199"/>
      <c r="T104" s="199"/>
      <c r="U104" s="199"/>
      <c r="V104" s="153"/>
      <c r="W104" s="153"/>
      <c r="Z104" s="153"/>
      <c r="AA104" s="153"/>
      <c r="AB104" s="153"/>
      <c r="AC104" s="4"/>
      <c r="AD104" s="4"/>
      <c r="AE104" s="4"/>
      <c r="AF104" s="4"/>
      <c r="AG104" s="4"/>
      <c r="AH104" s="4"/>
      <c r="AI104" s="4"/>
      <c r="AJ104" s="1009" t="s">
        <v>1601</v>
      </c>
      <c r="AK104" s="1009" t="s">
        <v>1040</v>
      </c>
      <c r="AL104" s="1010" t="s">
        <v>1024</v>
      </c>
      <c r="AM104" s="1009" t="s">
        <v>1041</v>
      </c>
      <c r="AN104" s="1011">
        <v>73</v>
      </c>
      <c r="AO104" s="1011">
        <v>77</v>
      </c>
      <c r="AP104" s="1012">
        <f t="shared" si="45"/>
        <v>75</v>
      </c>
      <c r="AQ104" s="1022">
        <v>11</v>
      </c>
      <c r="AR104" s="1013">
        <f t="shared" si="43"/>
        <v>15.555555555555557</v>
      </c>
      <c r="AS104" s="1013">
        <f t="shared" si="44"/>
        <v>22.22222222222222</v>
      </c>
      <c r="AT104" s="1014">
        <v>60</v>
      </c>
      <c r="AU104" s="1014">
        <v>72</v>
      </c>
    </row>
    <row r="105" spans="1:47" ht="14.25" customHeight="1">
      <c r="A105" s="2787"/>
      <c r="B105" s="100" t="s">
        <v>478</v>
      </c>
      <c r="C105" s="116">
        <f aca="true" t="shared" si="46" ref="C105:C114">F105*$C$24/100</f>
        <v>194.25</v>
      </c>
      <c r="D105" s="100">
        <v>0.62</v>
      </c>
      <c r="E105" s="116">
        <f>(H$147*I$147)/100</f>
        <v>908.8</v>
      </c>
      <c r="F105" s="2146">
        <f>G$147/0.11983</f>
        <v>259</v>
      </c>
      <c r="G105" s="107"/>
      <c r="H105" s="109"/>
      <c r="I105" s="2143"/>
      <c r="J105" s="114"/>
      <c r="K105" s="114"/>
      <c r="L105" s="114"/>
      <c r="M105" s="114"/>
      <c r="N105" s="114"/>
      <c r="O105" s="114"/>
      <c r="P105" s="346"/>
      <c r="Q105" s="346"/>
      <c r="R105" s="346"/>
      <c r="S105" s="414"/>
      <c r="T105" s="370"/>
      <c r="U105" s="4"/>
      <c r="V105" s="373" t="s">
        <v>54</v>
      </c>
      <c r="W105" s="153"/>
      <c r="Z105" s="153"/>
      <c r="AA105" s="153"/>
      <c r="AB105" s="153"/>
      <c r="AC105" s="4"/>
      <c r="AD105" s="4"/>
      <c r="AE105" s="4"/>
      <c r="AF105" s="4"/>
      <c r="AG105" s="4"/>
      <c r="AH105" s="4"/>
      <c r="AI105" s="4"/>
      <c r="AJ105" s="1009" t="s">
        <v>1602</v>
      </c>
      <c r="AK105" s="1009" t="s">
        <v>1040</v>
      </c>
      <c r="AL105" s="1010" t="s">
        <v>1024</v>
      </c>
      <c r="AM105" s="1009" t="s">
        <v>1020</v>
      </c>
      <c r="AN105" s="1011">
        <v>71</v>
      </c>
      <c r="AO105" s="1011">
        <v>75</v>
      </c>
      <c r="AP105" s="1012">
        <f t="shared" si="45"/>
        <v>73</v>
      </c>
      <c r="AQ105" s="1022">
        <v>10</v>
      </c>
      <c r="AR105" s="1013">
        <f t="shared" si="43"/>
        <v>17.77777777777778</v>
      </c>
      <c r="AS105" s="1013">
        <f t="shared" si="44"/>
        <v>23.333333333333336</v>
      </c>
      <c r="AT105" s="1014">
        <v>65</v>
      </c>
      <c r="AU105" s="1014">
        <v>68</v>
      </c>
    </row>
    <row r="106" spans="1:47" ht="14.25" customHeight="1">
      <c r="A106" s="2787"/>
      <c r="B106" s="100" t="s">
        <v>479</v>
      </c>
      <c r="C106" s="116">
        <f t="shared" si="46"/>
        <v>213.75</v>
      </c>
      <c r="D106" s="100">
        <v>0.62</v>
      </c>
      <c r="E106" s="116">
        <f>(H$150*I$150)/100</f>
        <v>763.2</v>
      </c>
      <c r="F106" s="2146">
        <f>G$150/0.11983</f>
        <v>285</v>
      </c>
      <c r="G106" s="107"/>
      <c r="H106" s="109"/>
      <c r="I106" s="2143"/>
      <c r="J106" s="114"/>
      <c r="K106" s="114"/>
      <c r="L106" s="114"/>
      <c r="M106" s="114"/>
      <c r="N106" s="114"/>
      <c r="O106" s="114"/>
      <c r="P106" s="346"/>
      <c r="Q106" s="346"/>
      <c r="R106" s="346"/>
      <c r="S106" s="370"/>
      <c r="T106" s="370"/>
      <c r="U106" s="4"/>
      <c r="V106" s="413"/>
      <c r="W106" s="153"/>
      <c r="Z106" s="153"/>
      <c r="AA106" s="153"/>
      <c r="AB106" s="153"/>
      <c r="AC106" s="4"/>
      <c r="AD106" s="4"/>
      <c r="AE106" s="4"/>
      <c r="AF106" s="4"/>
      <c r="AG106" s="4"/>
      <c r="AH106" s="4"/>
      <c r="AI106" s="4"/>
      <c r="AJ106" s="1009" t="s">
        <v>1603</v>
      </c>
      <c r="AK106" s="1009" t="s">
        <v>1023</v>
      </c>
      <c r="AL106" s="1010" t="s">
        <v>1024</v>
      </c>
      <c r="AM106" s="1009" t="s">
        <v>1025</v>
      </c>
      <c r="AN106" s="1011">
        <v>67</v>
      </c>
      <c r="AO106" s="1011">
        <v>75</v>
      </c>
      <c r="AP106" s="1012">
        <f t="shared" si="45"/>
        <v>71</v>
      </c>
      <c r="AQ106" s="1006" t="s">
        <v>1026</v>
      </c>
      <c r="AR106" s="1013">
        <f t="shared" si="43"/>
        <v>18.888888888888886</v>
      </c>
      <c r="AS106" s="1013">
        <f t="shared" si="44"/>
        <v>21.666666666666664</v>
      </c>
      <c r="AT106" s="1014">
        <v>56</v>
      </c>
      <c r="AU106" s="1014">
        <v>70</v>
      </c>
    </row>
    <row r="107" spans="1:47" ht="14.25" customHeight="1">
      <c r="A107" s="2787"/>
      <c r="B107" s="100" t="s">
        <v>480</v>
      </c>
      <c r="C107" s="116">
        <f t="shared" si="46"/>
        <v>212.25</v>
      </c>
      <c r="D107" s="100">
        <v>0.62</v>
      </c>
      <c r="E107" s="116">
        <f>(H$151*I$151)/100</f>
        <v>77.7</v>
      </c>
      <c r="F107" s="2146">
        <f>G$151/0.11983</f>
        <v>283</v>
      </c>
      <c r="G107" s="107"/>
      <c r="H107" s="109"/>
      <c r="I107" s="2143"/>
      <c r="J107" s="114"/>
      <c r="K107" s="114"/>
      <c r="L107" s="114"/>
      <c r="M107" s="114"/>
      <c r="N107" s="114"/>
      <c r="O107" s="114"/>
      <c r="P107" s="346"/>
      <c r="Q107" s="346"/>
      <c r="R107" s="346"/>
      <c r="S107" s="370"/>
      <c r="T107" s="370"/>
      <c r="U107" s="4"/>
      <c r="V107" s="153"/>
      <c r="W107" s="153"/>
      <c r="Z107" s="153"/>
      <c r="AA107" s="153"/>
      <c r="AB107" s="153"/>
      <c r="AC107" s="4"/>
      <c r="AD107" s="4"/>
      <c r="AE107" s="4"/>
      <c r="AF107" s="4"/>
      <c r="AG107" s="4"/>
      <c r="AH107" s="4"/>
      <c r="AI107" s="4"/>
      <c r="AJ107" s="1009" t="s">
        <v>1604</v>
      </c>
      <c r="AK107" s="1009" t="s">
        <v>1040</v>
      </c>
      <c r="AL107" s="1010" t="s">
        <v>1024</v>
      </c>
      <c r="AM107" s="1009" t="s">
        <v>1124</v>
      </c>
      <c r="AN107" s="1011">
        <v>67</v>
      </c>
      <c r="AO107" s="1011">
        <v>71</v>
      </c>
      <c r="AP107" s="1012">
        <f t="shared" si="45"/>
        <v>69</v>
      </c>
      <c r="AQ107" s="1022">
        <v>9</v>
      </c>
      <c r="AR107" s="1013">
        <f t="shared" si="43"/>
        <v>17.77777777777778</v>
      </c>
      <c r="AS107" s="1013">
        <f t="shared" si="44"/>
        <v>22.22222222222222</v>
      </c>
      <c r="AT107" s="1014">
        <v>60</v>
      </c>
      <c r="AU107" s="1014">
        <v>95</v>
      </c>
    </row>
    <row r="108" spans="1:47" ht="14.25" customHeight="1">
      <c r="A108" s="2787"/>
      <c r="B108" s="100" t="s">
        <v>482</v>
      </c>
      <c r="C108" s="116">
        <f t="shared" si="46"/>
        <v>204</v>
      </c>
      <c r="D108" s="100">
        <v>0.62</v>
      </c>
      <c r="E108" s="116">
        <f>(H$152*I$152)/100</f>
        <v>103.6</v>
      </c>
      <c r="F108" s="2146">
        <f>G$152/0.11983</f>
        <v>272</v>
      </c>
      <c r="G108" s="107"/>
      <c r="H108" s="109"/>
      <c r="I108" s="2143"/>
      <c r="J108" s="114"/>
      <c r="K108" s="114"/>
      <c r="L108" s="114"/>
      <c r="M108" s="114"/>
      <c r="N108" s="114"/>
      <c r="O108" s="114"/>
      <c r="P108" s="346"/>
      <c r="Q108" s="346"/>
      <c r="R108" s="346"/>
      <c r="S108" s="370"/>
      <c r="T108" s="370"/>
      <c r="U108" s="4"/>
      <c r="V108" s="153"/>
      <c r="W108" s="153"/>
      <c r="Z108" s="153"/>
      <c r="AA108" s="153"/>
      <c r="AB108" s="153"/>
      <c r="AC108" s="4"/>
      <c r="AD108" s="4"/>
      <c r="AE108" s="4"/>
      <c r="AF108" s="4"/>
      <c r="AG108" s="4"/>
      <c r="AH108" s="4"/>
      <c r="AI108" s="4"/>
      <c r="AJ108" s="1009" t="s">
        <v>1605</v>
      </c>
      <c r="AK108" s="1009" t="s">
        <v>1023</v>
      </c>
      <c r="AL108" s="1010" t="s">
        <v>1024</v>
      </c>
      <c r="AM108" s="1009" t="s">
        <v>1025</v>
      </c>
      <c r="AN108" s="1011">
        <v>70</v>
      </c>
      <c r="AO108" s="1011">
        <v>78</v>
      </c>
      <c r="AP108" s="1012">
        <f t="shared" si="45"/>
        <v>74</v>
      </c>
      <c r="AQ108" s="1006" t="s">
        <v>1026</v>
      </c>
      <c r="AR108" s="1013">
        <f t="shared" si="43"/>
        <v>10</v>
      </c>
      <c r="AS108" s="1013">
        <f t="shared" si="44"/>
        <v>12.777777777777779</v>
      </c>
      <c r="AT108" s="1014">
        <v>60</v>
      </c>
      <c r="AU108" s="1014">
        <v>95</v>
      </c>
    </row>
    <row r="109" spans="1:47" ht="14.25" customHeight="1">
      <c r="A109" s="2787"/>
      <c r="B109" s="100" t="s">
        <v>483</v>
      </c>
      <c r="C109" s="116">
        <f t="shared" si="46"/>
        <v>203.25</v>
      </c>
      <c r="D109" s="100">
        <v>0.62</v>
      </c>
      <c r="E109" s="116">
        <f>(H$153*I$153)/100</f>
        <v>148</v>
      </c>
      <c r="F109" s="2146">
        <f>G$153/0.11983</f>
        <v>271</v>
      </c>
      <c r="G109" s="107"/>
      <c r="H109" s="109"/>
      <c r="I109" s="2143"/>
      <c r="J109" s="114"/>
      <c r="K109" s="114"/>
      <c r="L109" s="114"/>
      <c r="M109" s="114"/>
      <c r="N109" s="114"/>
      <c r="O109" s="114"/>
      <c r="P109" s="346"/>
      <c r="Q109" s="346"/>
      <c r="R109" s="346"/>
      <c r="S109" s="327" t="s">
        <v>490</v>
      </c>
      <c r="T109" s="327" t="s">
        <v>490</v>
      </c>
      <c r="U109" s="327" t="s">
        <v>490</v>
      </c>
      <c r="V109" s="327" t="s">
        <v>490</v>
      </c>
      <c r="W109" s="327" t="s">
        <v>490</v>
      </c>
      <c r="Z109" s="327" t="s">
        <v>490</v>
      </c>
      <c r="AA109" s="327" t="s">
        <v>490</v>
      </c>
      <c r="AB109" s="327"/>
      <c r="AC109" s="4"/>
      <c r="AD109" s="4"/>
      <c r="AE109" s="4"/>
      <c r="AF109" s="4"/>
      <c r="AG109" s="4"/>
      <c r="AH109" s="4"/>
      <c r="AI109" s="4"/>
      <c r="AJ109" s="1009" t="s">
        <v>1606</v>
      </c>
      <c r="AK109" s="1009" t="s">
        <v>1040</v>
      </c>
      <c r="AL109" s="1010" t="s">
        <v>1024</v>
      </c>
      <c r="AM109" s="1009" t="s">
        <v>1025</v>
      </c>
      <c r="AN109" s="1011">
        <v>70</v>
      </c>
      <c r="AO109" s="1011">
        <v>74</v>
      </c>
      <c r="AP109" s="1012">
        <f t="shared" si="45"/>
        <v>72</v>
      </c>
      <c r="AQ109" s="1022">
        <v>9</v>
      </c>
      <c r="AR109" s="1013">
        <f t="shared" si="43"/>
        <v>8.888888888888886</v>
      </c>
      <c r="AS109" s="1013">
        <f t="shared" si="44"/>
        <v>13.333333333333336</v>
      </c>
      <c r="AT109" s="1014">
        <v>65</v>
      </c>
      <c r="AU109" s="1014">
        <v>80</v>
      </c>
    </row>
    <row r="110" spans="1:47" ht="14.25" customHeight="1">
      <c r="A110" s="2787"/>
      <c r="B110" s="100" t="s">
        <v>171</v>
      </c>
      <c r="C110" s="116">
        <f t="shared" si="46"/>
        <v>234.75</v>
      </c>
      <c r="D110" s="100">
        <v>0.62</v>
      </c>
      <c r="E110" s="116">
        <f>(H$170*I$170)/100</f>
        <v>0.71</v>
      </c>
      <c r="F110" s="2146">
        <f>G$170/0.11983</f>
        <v>313</v>
      </c>
      <c r="G110" s="107"/>
      <c r="H110" s="109"/>
      <c r="I110" s="2143"/>
      <c r="J110" s="114"/>
      <c r="K110" s="114"/>
      <c r="L110" s="114"/>
      <c r="M110" s="114"/>
      <c r="N110" s="114"/>
      <c r="O110" s="114"/>
      <c r="P110" s="346"/>
      <c r="Q110" s="346"/>
      <c r="R110" s="346"/>
      <c r="S110" s="346"/>
      <c r="T110" s="346"/>
      <c r="U110" s="153"/>
      <c r="V110" s="153"/>
      <c r="W110" s="153"/>
      <c r="Z110" s="153"/>
      <c r="AA110" s="153"/>
      <c r="AB110" s="153"/>
      <c r="AC110" s="4"/>
      <c r="AD110" s="4"/>
      <c r="AE110" s="4"/>
      <c r="AF110" s="4"/>
      <c r="AG110" s="4"/>
      <c r="AH110" s="4"/>
      <c r="AI110" s="4"/>
      <c r="AJ110" s="1009" t="s">
        <v>1615</v>
      </c>
      <c r="AK110" s="1009" t="s">
        <v>1616</v>
      </c>
      <c r="AL110" s="1030" t="s">
        <v>1097</v>
      </c>
      <c r="AM110" s="1009" t="s">
        <v>1020</v>
      </c>
      <c r="AN110" s="1020"/>
      <c r="AO110" s="1020"/>
      <c r="AP110" s="1021" t="s">
        <v>1020</v>
      </c>
      <c r="AQ110" s="1022" t="s">
        <v>1034</v>
      </c>
      <c r="AR110" s="1013">
        <f t="shared" si="43"/>
        <v>13.888888888888886</v>
      </c>
      <c r="AS110" s="1013">
        <f t="shared" si="44"/>
        <v>25</v>
      </c>
      <c r="AT110" s="1014">
        <v>60</v>
      </c>
      <c r="AU110" s="1014">
        <v>72</v>
      </c>
    </row>
    <row r="111" spans="1:47" ht="14.25" customHeight="1">
      <c r="A111" s="2787"/>
      <c r="B111" s="100" t="s">
        <v>234</v>
      </c>
      <c r="C111" s="116">
        <f t="shared" si="46"/>
        <v>228</v>
      </c>
      <c r="D111" s="100">
        <v>0.62</v>
      </c>
      <c r="E111" s="116">
        <f>(H$176*I$176)/100</f>
        <v>0</v>
      </c>
      <c r="F111" s="2146">
        <f>G$176/0.11983</f>
        <v>304</v>
      </c>
      <c r="G111" s="107"/>
      <c r="H111" s="109"/>
      <c r="I111" s="2143"/>
      <c r="J111" s="114"/>
      <c r="K111" s="114"/>
      <c r="L111" s="114"/>
      <c r="M111" s="114"/>
      <c r="N111" s="114"/>
      <c r="O111" s="114"/>
      <c r="P111" s="346"/>
      <c r="Q111" s="346"/>
      <c r="R111" s="346"/>
      <c r="S111" s="346"/>
      <c r="T111" s="346"/>
      <c r="U111" s="346"/>
      <c r="V111" s="153"/>
      <c r="W111" s="153"/>
      <c r="Z111" s="153"/>
      <c r="AA111" s="153"/>
      <c r="AB111" s="153"/>
      <c r="AC111" s="201"/>
      <c r="AD111" s="201"/>
      <c r="AE111" s="201"/>
      <c r="AF111" s="201"/>
      <c r="AG111" s="201"/>
      <c r="AH111" s="201"/>
      <c r="AI111" s="4"/>
      <c r="AJ111" s="1009" t="s">
        <v>1617</v>
      </c>
      <c r="AK111" s="1009" t="s">
        <v>1616</v>
      </c>
      <c r="AL111" s="1030" t="s">
        <v>1097</v>
      </c>
      <c r="AM111" s="1009" t="s">
        <v>1020</v>
      </c>
      <c r="AN111" s="1020"/>
      <c r="AO111" s="1020"/>
      <c r="AP111" s="1021" t="s">
        <v>1020</v>
      </c>
      <c r="AQ111" s="1022" t="s">
        <v>1034</v>
      </c>
      <c r="AR111" s="1013">
        <f t="shared" si="43"/>
        <v>13.888888888888886</v>
      </c>
      <c r="AS111" s="1013">
        <f t="shared" si="44"/>
        <v>25</v>
      </c>
      <c r="AT111" s="1014">
        <v>64</v>
      </c>
      <c r="AU111" s="1014">
        <v>74</v>
      </c>
    </row>
    <row r="112" spans="1:47" ht="14.25" customHeight="1">
      <c r="A112" s="2787"/>
      <c r="B112" s="100" t="s">
        <v>484</v>
      </c>
      <c r="C112" s="116">
        <f t="shared" si="46"/>
        <v>207</v>
      </c>
      <c r="D112" s="100">
        <v>0.62</v>
      </c>
      <c r="E112" s="116">
        <f>(H$154*I$154)/100</f>
        <v>902.8</v>
      </c>
      <c r="F112" s="2146">
        <f>G$154/0.11983</f>
        <v>276</v>
      </c>
      <c r="G112" s="107"/>
      <c r="H112" s="109"/>
      <c r="I112" s="2143"/>
      <c r="J112" s="114"/>
      <c r="K112" s="114"/>
      <c r="L112" s="114"/>
      <c r="M112" s="114"/>
      <c r="N112" s="114"/>
      <c r="O112" s="114"/>
      <c r="P112" s="346"/>
      <c r="Q112" s="346"/>
      <c r="R112" s="346"/>
      <c r="S112" s="153"/>
      <c r="T112" s="153"/>
      <c r="U112" s="153"/>
      <c r="V112" s="153"/>
      <c r="W112" s="153"/>
      <c r="Z112" s="153"/>
      <c r="AA112" s="153"/>
      <c r="AB112" s="153"/>
      <c r="AC112" s="201"/>
      <c r="AD112" s="201"/>
      <c r="AE112" s="201"/>
      <c r="AF112" s="201"/>
      <c r="AG112" s="201"/>
      <c r="AH112" s="201"/>
      <c r="AI112" s="4"/>
      <c r="AJ112" s="1025" t="s">
        <v>1618</v>
      </c>
      <c r="AK112" s="1009" t="s">
        <v>1040</v>
      </c>
      <c r="AL112" s="1010" t="s">
        <v>1024</v>
      </c>
      <c r="AM112" s="1009" t="s">
        <v>1020</v>
      </c>
      <c r="AN112" s="1011">
        <v>70</v>
      </c>
      <c r="AO112" s="1011">
        <v>76</v>
      </c>
      <c r="AP112" s="1012">
        <f>(AN112+AO112)/2</f>
        <v>73</v>
      </c>
      <c r="AQ112" s="1022">
        <v>9</v>
      </c>
      <c r="AR112" s="1013">
        <f t="shared" si="43"/>
        <v>11.111111111111114</v>
      </c>
      <c r="AS112" s="1013">
        <f t="shared" si="44"/>
        <v>14.444444444444443</v>
      </c>
      <c r="AT112" s="1014">
        <v>66</v>
      </c>
      <c r="AU112" s="1014">
        <v>71</v>
      </c>
    </row>
    <row r="113" spans="1:47" ht="14.25" customHeight="1">
      <c r="A113" s="2787"/>
      <c r="B113" s="100" t="s">
        <v>227</v>
      </c>
      <c r="C113" s="116">
        <f t="shared" si="46"/>
        <v>195</v>
      </c>
      <c r="D113" s="100">
        <v>0.62</v>
      </c>
      <c r="E113" s="116">
        <f>(H$172*I$172)/100</f>
        <v>2.13</v>
      </c>
      <c r="F113" s="2146">
        <f>G$172/0.11983</f>
        <v>260</v>
      </c>
      <c r="G113" s="107"/>
      <c r="H113" s="109"/>
      <c r="I113" s="2143"/>
      <c r="J113" s="114"/>
      <c r="K113" s="114"/>
      <c r="L113" s="114"/>
      <c r="M113" s="114"/>
      <c r="N113" s="114"/>
      <c r="O113" s="114"/>
      <c r="P113" s="346"/>
      <c r="Q113" s="346"/>
      <c r="R113" s="346"/>
      <c r="S113" s="631"/>
      <c r="T113" s="631"/>
      <c r="U113" s="631"/>
      <c r="V113" s="153"/>
      <c r="W113" s="153"/>
      <c r="Z113" s="153"/>
      <c r="AA113" s="153"/>
      <c r="AB113" s="153"/>
      <c r="AC113" s="201"/>
      <c r="AD113" s="201"/>
      <c r="AE113" s="201"/>
      <c r="AF113" s="201"/>
      <c r="AG113" s="201"/>
      <c r="AH113" s="201"/>
      <c r="AI113" s="4"/>
      <c r="AJ113" s="1009" t="s">
        <v>1619</v>
      </c>
      <c r="AK113" s="1009" t="s">
        <v>1033</v>
      </c>
      <c r="AL113" s="1010" t="s">
        <v>1024</v>
      </c>
      <c r="AM113" s="1009" t="s">
        <v>1036</v>
      </c>
      <c r="AN113" s="1020"/>
      <c r="AO113" s="1020"/>
      <c r="AP113" s="1021" t="s">
        <v>1020</v>
      </c>
      <c r="AQ113" s="1022" t="s">
        <v>1034</v>
      </c>
      <c r="AR113" s="1013">
        <f t="shared" si="43"/>
        <v>20</v>
      </c>
      <c r="AS113" s="1013">
        <f t="shared" si="44"/>
        <v>22.22222222222222</v>
      </c>
      <c r="AT113" s="1014">
        <v>64</v>
      </c>
      <c r="AU113" s="1014">
        <v>72</v>
      </c>
    </row>
    <row r="114" spans="1:47" ht="14.25" customHeight="1">
      <c r="A114" s="2787"/>
      <c r="B114" s="100" t="s">
        <v>228</v>
      </c>
      <c r="C114" s="116">
        <f t="shared" si="46"/>
        <v>183.75</v>
      </c>
      <c r="D114" s="100">
        <v>0.62</v>
      </c>
      <c r="E114" s="116">
        <f>(H$173*I$173)/100</f>
        <v>1.065</v>
      </c>
      <c r="F114" s="2146">
        <f>G$173/0.11983</f>
        <v>245</v>
      </c>
      <c r="G114" s="107"/>
      <c r="H114" s="109"/>
      <c r="I114" s="2143"/>
      <c r="J114" s="114"/>
      <c r="K114" s="114"/>
      <c r="L114" s="114"/>
      <c r="M114" s="114"/>
      <c r="N114" s="114"/>
      <c r="O114" s="114"/>
      <c r="P114" s="346"/>
      <c r="Q114" s="346"/>
      <c r="R114" s="346"/>
      <c r="S114" s="201"/>
      <c r="T114" s="201"/>
      <c r="U114" s="201"/>
      <c r="V114" s="201"/>
      <c r="W114" s="201"/>
      <c r="Z114" s="201"/>
      <c r="AA114" s="201"/>
      <c r="AB114" s="201"/>
      <c r="AC114" s="201"/>
      <c r="AD114" s="201"/>
      <c r="AE114" s="201"/>
      <c r="AF114" s="201"/>
      <c r="AG114" s="201"/>
      <c r="AH114" s="201"/>
      <c r="AI114" s="4"/>
      <c r="AJ114" s="1009" t="s">
        <v>1620</v>
      </c>
      <c r="AK114" s="1009" t="s">
        <v>1040</v>
      </c>
      <c r="AL114" s="1010" t="s">
        <v>1024</v>
      </c>
      <c r="AM114" s="1009" t="s">
        <v>1020</v>
      </c>
      <c r="AN114" s="1011">
        <v>67</v>
      </c>
      <c r="AO114" s="1011">
        <v>71</v>
      </c>
      <c r="AP114" s="1012">
        <f>(AN114+AO114)/2</f>
        <v>69</v>
      </c>
      <c r="AQ114" s="1022">
        <v>10</v>
      </c>
      <c r="AR114" s="1013">
        <f t="shared" si="43"/>
        <v>18.333333333333336</v>
      </c>
      <c r="AS114" s="1013">
        <f t="shared" si="44"/>
        <v>23.888888888888886</v>
      </c>
      <c r="AT114" s="1014">
        <v>50</v>
      </c>
      <c r="AU114" s="1014">
        <v>55</v>
      </c>
    </row>
    <row r="115" spans="1:47" ht="14.25" customHeight="1">
      <c r="A115" s="2776" t="s">
        <v>407</v>
      </c>
      <c r="B115" s="100" t="s">
        <v>485</v>
      </c>
      <c r="C115" s="1443">
        <f>F$159</f>
        <v>375</v>
      </c>
      <c r="D115" s="100">
        <v>1</v>
      </c>
      <c r="E115" s="116">
        <f>(H$159*I$159)/100</f>
        <v>0</v>
      </c>
      <c r="F115" s="2146">
        <f>G$159/0.11983</f>
        <v>375</v>
      </c>
      <c r="G115" s="107"/>
      <c r="H115" s="109"/>
      <c r="I115" s="2143"/>
      <c r="J115" s="114"/>
      <c r="K115" s="114"/>
      <c r="L115" s="114"/>
      <c r="M115" s="114"/>
      <c r="N115" s="114"/>
      <c r="O115" s="114"/>
      <c r="P115" s="346"/>
      <c r="Q115" s="346"/>
      <c r="R115" s="346"/>
      <c r="S115" s="201"/>
      <c r="T115" s="201"/>
      <c r="U115" s="201"/>
      <c r="V115" s="201"/>
      <c r="W115" s="201"/>
      <c r="Z115" s="201"/>
      <c r="AA115" s="201"/>
      <c r="AB115" s="201"/>
      <c r="AC115" s="201"/>
      <c r="AD115" s="201"/>
      <c r="AE115" s="201"/>
      <c r="AF115" s="201"/>
      <c r="AG115" s="201"/>
      <c r="AH115" s="201"/>
      <c r="AI115" s="4"/>
      <c r="AJ115" s="1009" t="s">
        <v>1621</v>
      </c>
      <c r="AK115" s="1009" t="s">
        <v>1622</v>
      </c>
      <c r="AL115" s="1030" t="s">
        <v>1097</v>
      </c>
      <c r="AM115" s="1009" t="s">
        <v>1020</v>
      </c>
      <c r="AN115" s="1020"/>
      <c r="AO115" s="1020"/>
      <c r="AP115" s="1021" t="s">
        <v>1020</v>
      </c>
      <c r="AQ115" s="1022" t="s">
        <v>1034</v>
      </c>
      <c r="AR115" s="1013">
        <f t="shared" si="43"/>
        <v>13.888888888888886</v>
      </c>
      <c r="AS115" s="1013">
        <f t="shared" si="44"/>
        <v>21.111111111111114</v>
      </c>
      <c r="AT115" s="1014">
        <v>48</v>
      </c>
      <c r="AU115" s="1014">
        <v>56</v>
      </c>
    </row>
    <row r="116" spans="1:47" ht="14.25" customHeight="1">
      <c r="A116" s="2776"/>
      <c r="B116" s="100" t="s">
        <v>486</v>
      </c>
      <c r="C116" s="1443">
        <f>F$156</f>
        <v>370</v>
      </c>
      <c r="D116" s="100">
        <v>1</v>
      </c>
      <c r="E116" s="116">
        <f>(H$156*I$156)/100</f>
        <v>16</v>
      </c>
      <c r="F116" s="2146">
        <f>G$156/0.11983</f>
        <v>370</v>
      </c>
      <c r="G116" s="107"/>
      <c r="H116" s="109"/>
      <c r="I116" s="2143"/>
      <c r="J116" s="114"/>
      <c r="K116" s="114"/>
      <c r="L116" s="114"/>
      <c r="M116" s="114"/>
      <c r="N116" s="114"/>
      <c r="O116" s="114"/>
      <c r="P116" s="346"/>
      <c r="Q116" s="346"/>
      <c r="R116" s="346"/>
      <c r="S116" s="201"/>
      <c r="T116" s="201"/>
      <c r="U116" s="201"/>
      <c r="V116" s="201"/>
      <c r="W116" s="201"/>
      <c r="Z116" s="201"/>
      <c r="AA116" s="201"/>
      <c r="AB116" s="201"/>
      <c r="AC116" s="201"/>
      <c r="AD116" s="201"/>
      <c r="AE116" s="201"/>
      <c r="AF116" s="201"/>
      <c r="AG116" s="201"/>
      <c r="AH116" s="201"/>
      <c r="AI116" s="4"/>
      <c r="AJ116" s="1009" t="s">
        <v>1623</v>
      </c>
      <c r="AK116" s="1009" t="s">
        <v>1040</v>
      </c>
      <c r="AL116" s="1010" t="s">
        <v>1024</v>
      </c>
      <c r="AM116" s="1009" t="s">
        <v>1061</v>
      </c>
      <c r="AN116" s="1011">
        <v>73</v>
      </c>
      <c r="AO116" s="1011">
        <v>77</v>
      </c>
      <c r="AP116" s="1012">
        <f>(AN116+AO116)/2</f>
        <v>75</v>
      </c>
      <c r="AQ116" s="1022">
        <v>9</v>
      </c>
      <c r="AR116" s="1013">
        <f t="shared" si="43"/>
        <v>8.888888888888886</v>
      </c>
      <c r="AS116" s="1013">
        <f t="shared" si="44"/>
        <v>14.444444444444443</v>
      </c>
      <c r="AT116" s="1014">
        <v>57</v>
      </c>
      <c r="AU116" s="1014">
        <v>77</v>
      </c>
    </row>
    <row r="117" spans="1:47" ht="14.25" customHeight="1">
      <c r="A117" s="2777"/>
      <c r="B117" s="2147" t="s">
        <v>487</v>
      </c>
      <c r="C117" s="2148">
        <f>F$161</f>
        <v>319</v>
      </c>
      <c r="D117" s="2149">
        <v>0.85</v>
      </c>
      <c r="E117" s="2150">
        <f>(H$161*I$161)/100</f>
        <v>0</v>
      </c>
      <c r="F117" s="2151">
        <f>G$161/0.11983</f>
        <v>319</v>
      </c>
      <c r="G117" s="107"/>
      <c r="H117" s="109"/>
      <c r="I117" s="2143"/>
      <c r="J117" s="114"/>
      <c r="K117" s="114"/>
      <c r="L117" s="114"/>
      <c r="M117" s="114"/>
      <c r="N117" s="114"/>
      <c r="O117" s="114"/>
      <c r="P117" s="346"/>
      <c r="Q117" s="346"/>
      <c r="R117" s="346"/>
      <c r="S117" s="217"/>
      <c r="T117" s="217"/>
      <c r="U117" s="217"/>
      <c r="V117" s="247"/>
      <c r="W117" s="201"/>
      <c r="Z117" s="201"/>
      <c r="AA117" s="201"/>
      <c r="AB117" s="201"/>
      <c r="AC117" s="201"/>
      <c r="AD117" s="201"/>
      <c r="AE117" s="201"/>
      <c r="AF117" s="201"/>
      <c r="AG117" s="201"/>
      <c r="AH117" s="201"/>
      <c r="AI117" s="4"/>
      <c r="AJ117" s="1009" t="s">
        <v>1624</v>
      </c>
      <c r="AK117" s="1009" t="s">
        <v>1023</v>
      </c>
      <c r="AL117" s="1010" t="s">
        <v>1024</v>
      </c>
      <c r="AM117" s="1009" t="s">
        <v>1025</v>
      </c>
      <c r="AN117" s="1011">
        <v>65</v>
      </c>
      <c r="AO117" s="1011">
        <v>73</v>
      </c>
      <c r="AP117" s="1012">
        <f>(AN117+AO117)/2</f>
        <v>69</v>
      </c>
      <c r="AQ117" s="1006" t="s">
        <v>1038</v>
      </c>
      <c r="AR117" s="1013">
        <f t="shared" si="43"/>
        <v>11.111111111111114</v>
      </c>
      <c r="AS117" s="1013">
        <f t="shared" si="44"/>
        <v>14.444444444444443</v>
      </c>
      <c r="AT117" s="1014">
        <v>57</v>
      </c>
      <c r="AU117" s="1014">
        <v>77</v>
      </c>
    </row>
    <row r="118" spans="1:47" ht="14.25" customHeight="1">
      <c r="A118" s="1444"/>
      <c r="B118" s="344"/>
      <c r="C118" s="203"/>
      <c r="D118" s="202"/>
      <c r="E118" s="202"/>
      <c r="F118" s="202"/>
      <c r="G118" s="107"/>
      <c r="H118" s="109"/>
      <c r="I118" s="2143"/>
      <c r="J118" s="114"/>
      <c r="K118" s="114"/>
      <c r="L118" s="114"/>
      <c r="M118" s="114"/>
      <c r="N118" s="114"/>
      <c r="O118" s="114"/>
      <c r="P118" s="346"/>
      <c r="Q118" s="346"/>
      <c r="R118" s="346"/>
      <c r="S118" s="201"/>
      <c r="T118" s="201"/>
      <c r="U118" s="201"/>
      <c r="V118" s="201"/>
      <c r="W118" s="201"/>
      <c r="Z118" s="201"/>
      <c r="AA118" s="201"/>
      <c r="AB118" s="201"/>
      <c r="AC118" s="201"/>
      <c r="AD118" s="201"/>
      <c r="AE118" s="201"/>
      <c r="AF118" s="201"/>
      <c r="AG118" s="201"/>
      <c r="AH118" s="201"/>
      <c r="AI118" s="4"/>
      <c r="AJ118" s="1009" t="s">
        <v>1625</v>
      </c>
      <c r="AK118" s="1009" t="s">
        <v>1023</v>
      </c>
      <c r="AL118" s="1010" t="s">
        <v>1024</v>
      </c>
      <c r="AM118" s="1009" t="s">
        <v>1025</v>
      </c>
      <c r="AN118" s="1011">
        <v>66</v>
      </c>
      <c r="AO118" s="1011">
        <v>73</v>
      </c>
      <c r="AP118" s="1012">
        <f>(AN118+AO118)/2</f>
        <v>69.5</v>
      </c>
      <c r="AQ118" s="1006" t="s">
        <v>1038</v>
      </c>
      <c r="AR118" s="1013">
        <f aca="true" t="shared" si="47" ref="AR118:AR127">((AT124+40)*5/9)-40</f>
        <v>10</v>
      </c>
      <c r="AS118" s="1013">
        <f aca="true" t="shared" si="48" ref="AS118:AS127">((AU124+40)*5/9)-40</f>
        <v>12.777777777777779</v>
      </c>
      <c r="AT118" s="1014">
        <v>52</v>
      </c>
      <c r="AU118" s="1014">
        <v>58</v>
      </c>
    </row>
    <row r="119" spans="1:47" ht="14.25" customHeight="1">
      <c r="A119" s="1444"/>
      <c r="B119" s="344"/>
      <c r="C119" s="203"/>
      <c r="D119" s="202"/>
      <c r="E119" s="202"/>
      <c r="F119" s="202"/>
      <c r="G119" s="107"/>
      <c r="H119" s="109"/>
      <c r="I119" s="2143"/>
      <c r="J119" s="114"/>
      <c r="K119" s="114"/>
      <c r="L119" s="114"/>
      <c r="M119" s="114"/>
      <c r="N119" s="114"/>
      <c r="O119" s="114"/>
      <c r="P119" s="346"/>
      <c r="Q119" s="346"/>
      <c r="R119" s="346"/>
      <c r="S119" s="387"/>
      <c r="T119" s="387"/>
      <c r="U119" s="387"/>
      <c r="V119" s="387"/>
      <c r="W119" s="387"/>
      <c r="Z119" s="387"/>
      <c r="AA119" s="387"/>
      <c r="AB119" s="387"/>
      <c r="AC119" s="387"/>
      <c r="AD119" s="387"/>
      <c r="AE119" s="387"/>
      <c r="AF119" s="387"/>
      <c r="AG119" s="387"/>
      <c r="AH119" s="387"/>
      <c r="AI119" s="4"/>
      <c r="AJ119" s="1009" t="s">
        <v>1626</v>
      </c>
      <c r="AK119" s="1009" t="s">
        <v>1023</v>
      </c>
      <c r="AL119" s="1010" t="s">
        <v>1024</v>
      </c>
      <c r="AM119" s="1009" t="s">
        <v>1020</v>
      </c>
      <c r="AN119" s="1011">
        <v>65</v>
      </c>
      <c r="AO119" s="1011">
        <v>70</v>
      </c>
      <c r="AP119" s="1012">
        <f>(AN119+AO119)/2</f>
        <v>67.5</v>
      </c>
      <c r="AQ119" s="1006" t="s">
        <v>1026</v>
      </c>
      <c r="AR119" s="1013">
        <f t="shared" si="47"/>
        <v>18.333333333333336</v>
      </c>
      <c r="AS119" s="1013">
        <f t="shared" si="48"/>
        <v>20</v>
      </c>
      <c r="AT119" s="1014">
        <v>68</v>
      </c>
      <c r="AU119" s="1014">
        <v>72</v>
      </c>
    </row>
    <row r="120" spans="1:47" ht="15" customHeight="1">
      <c r="A120" s="1444"/>
      <c r="B120" s="344"/>
      <c r="C120" s="203"/>
      <c r="D120" s="202"/>
      <c r="E120" s="202"/>
      <c r="F120" s="202"/>
      <c r="G120" s="107"/>
      <c r="H120" s="109"/>
      <c r="I120" s="2143"/>
      <c r="J120" s="114"/>
      <c r="K120" s="114"/>
      <c r="L120" s="114"/>
      <c r="M120" s="114"/>
      <c r="N120" s="114"/>
      <c r="O120" s="114"/>
      <c r="P120" s="346"/>
      <c r="Q120" s="346"/>
      <c r="R120" s="346"/>
      <c r="S120" s="163"/>
      <c r="T120" s="163"/>
      <c r="U120" s="163"/>
      <c r="W120" s="201"/>
      <c r="Z120" s="201"/>
      <c r="AA120" s="201"/>
      <c r="AB120" s="201"/>
      <c r="AC120" s="201"/>
      <c r="AD120" s="201"/>
      <c r="AE120" s="201"/>
      <c r="AF120" s="201"/>
      <c r="AG120" s="201"/>
      <c r="AH120" s="201"/>
      <c r="AI120" s="4"/>
      <c r="AJ120" s="1009" t="s">
        <v>1627</v>
      </c>
      <c r="AK120" s="1009" t="s">
        <v>1040</v>
      </c>
      <c r="AL120" s="1010" t="s">
        <v>1024</v>
      </c>
      <c r="AM120" s="1009" t="s">
        <v>1074</v>
      </c>
      <c r="AN120" s="1020" t="s">
        <v>1074</v>
      </c>
      <c r="AO120" s="1020" t="s">
        <v>1074</v>
      </c>
      <c r="AP120" s="1021" t="s">
        <v>1074</v>
      </c>
      <c r="AQ120" s="1022">
        <v>9</v>
      </c>
      <c r="AR120" s="1013">
        <f t="shared" si="47"/>
        <v>15.555555555555557</v>
      </c>
      <c r="AS120" s="1013">
        <f t="shared" si="48"/>
        <v>35</v>
      </c>
      <c r="AT120" s="1014">
        <v>65</v>
      </c>
      <c r="AU120" s="1014">
        <v>75</v>
      </c>
    </row>
    <row r="121" spans="1:47" ht="15" customHeight="1">
      <c r="A121" s="2784" t="s">
        <v>542</v>
      </c>
      <c r="B121" s="2785"/>
      <c r="C121" s="357"/>
      <c r="D121" s="202"/>
      <c r="E121" s="202"/>
      <c r="F121" s="202"/>
      <c r="G121" s="202"/>
      <c r="H121" s="344"/>
      <c r="I121" s="344"/>
      <c r="J121" s="114"/>
      <c r="K121" s="344"/>
      <c r="L121" s="201"/>
      <c r="M121" s="201"/>
      <c r="N121" s="202"/>
      <c r="O121" s="202"/>
      <c r="P121" s="202"/>
      <c r="Q121" s="202"/>
      <c r="R121" s="346"/>
      <c r="S121" s="202"/>
      <c r="T121" s="202"/>
      <c r="U121" s="202"/>
      <c r="V121" s="201"/>
      <c r="W121" s="201"/>
      <c r="Z121" s="201"/>
      <c r="AA121" s="201"/>
      <c r="AB121" s="201"/>
      <c r="AC121" s="201"/>
      <c r="AD121" s="201"/>
      <c r="AE121" s="201"/>
      <c r="AF121" s="201"/>
      <c r="AG121" s="201"/>
      <c r="AH121" s="201"/>
      <c r="AI121" s="4"/>
      <c r="AJ121" s="1009" t="s">
        <v>1628</v>
      </c>
      <c r="AK121" s="1009" t="s">
        <v>1040</v>
      </c>
      <c r="AL121" s="1010" t="s">
        <v>1024</v>
      </c>
      <c r="AM121" s="1009" t="s">
        <v>1025</v>
      </c>
      <c r="AN121" s="1011">
        <v>71</v>
      </c>
      <c r="AO121" s="1011">
        <v>75</v>
      </c>
      <c r="AP121" s="1012">
        <f>(AN121+AO121)/2</f>
        <v>73</v>
      </c>
      <c r="AQ121" s="1022">
        <v>9</v>
      </c>
      <c r="AR121" s="1013">
        <f t="shared" si="47"/>
        <v>8.888888888888886</v>
      </c>
      <c r="AS121" s="1013">
        <f t="shared" si="48"/>
        <v>13.333333333333336</v>
      </c>
      <c r="AT121" s="1014">
        <v>57</v>
      </c>
      <c r="AU121" s="1014">
        <v>70</v>
      </c>
    </row>
    <row r="122" spans="1:47" ht="15" customHeight="1">
      <c r="A122" s="4"/>
      <c r="B122" s="355" t="s">
        <v>545</v>
      </c>
      <c r="C122" s="357"/>
      <c r="D122" s="202"/>
      <c r="E122" s="202"/>
      <c r="F122" s="202"/>
      <c r="G122" s="202"/>
      <c r="H122" s="344"/>
      <c r="I122" s="344"/>
      <c r="J122" s="344"/>
      <c r="K122" s="344"/>
      <c r="L122" s="201"/>
      <c r="M122" s="201"/>
      <c r="N122" s="202"/>
      <c r="O122" s="202"/>
      <c r="P122" s="202"/>
      <c r="Q122" s="202"/>
      <c r="R122" s="202"/>
      <c r="S122" s="202"/>
      <c r="T122" s="202"/>
      <c r="U122" s="202"/>
      <c r="V122" s="201"/>
      <c r="W122" s="201"/>
      <c r="Z122" s="201"/>
      <c r="AA122" s="201"/>
      <c r="AB122" s="201"/>
      <c r="AC122" s="201"/>
      <c r="AD122" s="201"/>
      <c r="AE122" s="201"/>
      <c r="AF122" s="201"/>
      <c r="AG122" s="201"/>
      <c r="AH122" s="201"/>
      <c r="AI122" s="4"/>
      <c r="AJ122" s="1009" t="s">
        <v>1629</v>
      </c>
      <c r="AK122" s="1009" t="s">
        <v>1023</v>
      </c>
      <c r="AL122" s="1010" t="s">
        <v>1024</v>
      </c>
      <c r="AM122" s="1009" t="s">
        <v>1028</v>
      </c>
      <c r="AN122" s="1011">
        <v>72</v>
      </c>
      <c r="AO122" s="1011">
        <v>77</v>
      </c>
      <c r="AP122" s="1012">
        <f>(AN122+AO122)/2</f>
        <v>74.5</v>
      </c>
      <c r="AQ122" s="1006" t="s">
        <v>1026</v>
      </c>
      <c r="AR122" s="1013">
        <f t="shared" si="47"/>
        <v>10</v>
      </c>
      <c r="AS122" s="1013">
        <f t="shared" si="48"/>
        <v>12.777777777777779</v>
      </c>
      <c r="AT122" s="1014">
        <v>48</v>
      </c>
      <c r="AU122" s="1014">
        <v>58</v>
      </c>
    </row>
    <row r="123" spans="1:47" ht="15" customHeight="1">
      <c r="A123" s="4"/>
      <c r="B123" s="425" t="s">
        <v>172</v>
      </c>
      <c r="C123" s="203"/>
      <c r="D123" s="204" t="s">
        <v>173</v>
      </c>
      <c r="E123" s="344"/>
      <c r="F123" s="344"/>
      <c r="G123" s="1444"/>
      <c r="H123" s="344"/>
      <c r="I123" s="572" t="s">
        <v>174</v>
      </c>
      <c r="J123" s="344"/>
      <c r="K123" s="344"/>
      <c r="L123" s="355"/>
      <c r="M123" s="355"/>
      <c r="N123" s="201"/>
      <c r="O123" s="201"/>
      <c r="P123" s="201"/>
      <c r="Q123" s="201"/>
      <c r="R123" s="201"/>
      <c r="S123" s="201"/>
      <c r="T123" s="201"/>
      <c r="U123" s="201"/>
      <c r="V123" s="201"/>
      <c r="W123" s="201"/>
      <c r="Z123" s="201"/>
      <c r="AA123" s="201"/>
      <c r="AB123" s="201"/>
      <c r="AC123" s="201"/>
      <c r="AD123" s="201"/>
      <c r="AE123" s="201"/>
      <c r="AF123" s="201"/>
      <c r="AG123" s="201"/>
      <c r="AH123" s="201"/>
      <c r="AI123" s="4"/>
      <c r="AJ123" s="1025" t="s">
        <v>1630</v>
      </c>
      <c r="AK123" s="1009" t="s">
        <v>1023</v>
      </c>
      <c r="AL123" s="1010" t="s">
        <v>1024</v>
      </c>
      <c r="AM123" s="1009" t="s">
        <v>1025</v>
      </c>
      <c r="AN123" s="1011">
        <v>70</v>
      </c>
      <c r="AO123" s="1011">
        <v>75</v>
      </c>
      <c r="AP123" s="1012">
        <f>(AN123+AO123)/2</f>
        <v>72.5</v>
      </c>
      <c r="AQ123" s="1006" t="s">
        <v>1026</v>
      </c>
      <c r="AR123" s="1013">
        <f t="shared" si="47"/>
        <v>19.444444444444443</v>
      </c>
      <c r="AS123" s="1013">
        <f t="shared" si="48"/>
        <v>21.111111111111114</v>
      </c>
      <c r="AT123" s="1014">
        <v>52</v>
      </c>
      <c r="AU123" s="1014">
        <v>58</v>
      </c>
    </row>
    <row r="124" spans="2:47" ht="15" customHeight="1">
      <c r="B124" s="121"/>
      <c r="C124" s="122" t="s">
        <v>153</v>
      </c>
      <c r="D124" s="122" t="s">
        <v>154</v>
      </c>
      <c r="E124" s="122" t="s">
        <v>155</v>
      </c>
      <c r="F124" s="2788" t="s">
        <v>124</v>
      </c>
      <c r="G124" s="2788"/>
      <c r="H124" s="573" t="s">
        <v>175</v>
      </c>
      <c r="I124" s="122" t="s">
        <v>155</v>
      </c>
      <c r="J124" s="119"/>
      <c r="K124" s="388" t="s">
        <v>71</v>
      </c>
      <c r="L124" s="388"/>
      <c r="M124" s="388"/>
      <c r="N124" s="119"/>
      <c r="O124" s="119"/>
      <c r="P124" s="119"/>
      <c r="Q124" s="119"/>
      <c r="R124" s="119"/>
      <c r="S124" s="119"/>
      <c r="T124" s="119"/>
      <c r="U124" s="119"/>
      <c r="V124" s="119"/>
      <c r="W124" s="119"/>
      <c r="Z124" s="119"/>
      <c r="AA124" s="119"/>
      <c r="AB124" s="119"/>
      <c r="AC124" s="119"/>
      <c r="AD124" s="119"/>
      <c r="AE124" s="119"/>
      <c r="AF124" s="119"/>
      <c r="AG124" s="119"/>
      <c r="AH124" s="119"/>
      <c r="AI124" s="4"/>
      <c r="AJ124" s="1009" t="s">
        <v>1631</v>
      </c>
      <c r="AK124" s="1009" t="s">
        <v>1040</v>
      </c>
      <c r="AL124" s="1010" t="s">
        <v>1024</v>
      </c>
      <c r="AM124" s="1009" t="s">
        <v>1020</v>
      </c>
      <c r="AN124" s="1011">
        <v>68</v>
      </c>
      <c r="AO124" s="1011">
        <v>72</v>
      </c>
      <c r="AP124" s="1012">
        <f>(AN124+AO124)/2</f>
        <v>70</v>
      </c>
      <c r="AQ124" s="1022">
        <v>10</v>
      </c>
      <c r="AR124" s="1013">
        <f t="shared" si="47"/>
        <v>17.77777777777778</v>
      </c>
      <c r="AS124" s="1013">
        <f t="shared" si="48"/>
        <v>23.333333333333336</v>
      </c>
      <c r="AT124" s="1014">
        <v>50</v>
      </c>
      <c r="AU124" s="1014">
        <v>55</v>
      </c>
    </row>
    <row r="125" spans="2:47" ht="15" customHeight="1">
      <c r="B125" s="121"/>
      <c r="C125" s="122" t="s">
        <v>410</v>
      </c>
      <c r="D125" s="122" t="s">
        <v>156</v>
      </c>
      <c r="E125" s="122" t="s">
        <v>176</v>
      </c>
      <c r="F125" s="571" t="s">
        <v>410</v>
      </c>
      <c r="G125" s="579" t="s">
        <v>125</v>
      </c>
      <c r="H125" s="574"/>
      <c r="I125" s="122" t="s">
        <v>412</v>
      </c>
      <c r="J125" s="119"/>
      <c r="K125" s="389" t="s">
        <v>524</v>
      </c>
      <c r="L125" s="389" t="s">
        <v>506</v>
      </c>
      <c r="M125" s="389" t="s">
        <v>255</v>
      </c>
      <c r="N125" s="119"/>
      <c r="O125" s="119"/>
      <c r="P125" s="119"/>
      <c r="Q125" s="119"/>
      <c r="R125" s="119"/>
      <c r="S125" s="119"/>
      <c r="T125" s="119"/>
      <c r="U125" s="119"/>
      <c r="W125" s="119"/>
      <c r="Z125" s="119"/>
      <c r="AA125" s="119"/>
      <c r="AB125" s="119"/>
      <c r="AC125" s="119"/>
      <c r="AD125" s="119"/>
      <c r="AE125" s="119"/>
      <c r="AF125" s="119"/>
      <c r="AG125" s="119"/>
      <c r="AH125" s="119"/>
      <c r="AI125" s="4"/>
      <c r="AJ125" s="1465" t="s">
        <v>1632</v>
      </c>
      <c r="AK125" s="1009" t="s">
        <v>1040</v>
      </c>
      <c r="AL125" s="1010" t="s">
        <v>1024</v>
      </c>
      <c r="AM125" s="1009" t="s">
        <v>1069</v>
      </c>
      <c r="AN125" s="1011"/>
      <c r="AO125" s="1011"/>
      <c r="AP125" s="1012">
        <v>80</v>
      </c>
      <c r="AQ125" s="1022">
        <v>11</v>
      </c>
      <c r="AR125" s="1013">
        <f t="shared" si="47"/>
        <v>18.333333333333336</v>
      </c>
      <c r="AS125" s="1013">
        <f t="shared" si="48"/>
        <v>29.444444444444443</v>
      </c>
      <c r="AT125" s="1014">
        <v>65</v>
      </c>
      <c r="AU125" s="1014">
        <v>68</v>
      </c>
    </row>
    <row r="126" spans="2:47" ht="15" customHeight="1">
      <c r="B126" s="100" t="s">
        <v>177</v>
      </c>
      <c r="C126" s="116">
        <f aca="true" t="shared" si="49" ref="C126:C133">F126*$C$24/100</f>
        <v>201.75</v>
      </c>
      <c r="D126" s="100">
        <v>0.62</v>
      </c>
      <c r="E126" s="116">
        <f>(H$126*I$126)/100</f>
        <v>48.1</v>
      </c>
      <c r="F126" s="116">
        <f>G$126/0.11983</f>
        <v>269</v>
      </c>
      <c r="G126" s="580">
        <v>32.23427</v>
      </c>
      <c r="H126" s="99">
        <v>74</v>
      </c>
      <c r="I126" s="100">
        <v>65</v>
      </c>
      <c r="J126" s="20"/>
      <c r="K126" s="123">
        <v>20</v>
      </c>
      <c r="L126" s="330">
        <v>26</v>
      </c>
      <c r="M126" s="330">
        <v>29</v>
      </c>
      <c r="AI126" s="4"/>
      <c r="AJ126" s="1009" t="s">
        <v>1633</v>
      </c>
      <c r="AK126" s="1009" t="s">
        <v>1634</v>
      </c>
      <c r="AL126" s="1030" t="s">
        <v>1097</v>
      </c>
      <c r="AM126" s="1009" t="s">
        <v>1020</v>
      </c>
      <c r="AN126" s="1011"/>
      <c r="AO126" s="1011"/>
      <c r="AP126" s="1012">
        <v>79</v>
      </c>
      <c r="AQ126" s="1022" t="s">
        <v>1034</v>
      </c>
      <c r="AR126" s="1013">
        <f t="shared" si="47"/>
        <v>12.222222222222221</v>
      </c>
      <c r="AS126" s="1013">
        <f t="shared" si="48"/>
        <v>25</v>
      </c>
      <c r="AT126" s="1014">
        <v>60</v>
      </c>
      <c r="AU126" s="1014">
        <v>95</v>
      </c>
    </row>
    <row r="127" spans="2:47" ht="15" customHeight="1">
      <c r="B127" s="100" t="s">
        <v>192</v>
      </c>
      <c r="C127" s="116">
        <f t="shared" si="49"/>
        <v>202.5</v>
      </c>
      <c r="D127" s="100">
        <v>0.62</v>
      </c>
      <c r="E127" s="116">
        <f>(H$127*I$127)/100</f>
        <v>79.2</v>
      </c>
      <c r="F127" s="116">
        <f>G$127/0.11983</f>
        <v>270</v>
      </c>
      <c r="G127" s="580">
        <v>32.3541</v>
      </c>
      <c r="H127" s="99">
        <v>72</v>
      </c>
      <c r="I127" s="100">
        <v>110</v>
      </c>
      <c r="J127" s="20"/>
      <c r="K127" s="123">
        <v>10</v>
      </c>
      <c r="L127" s="123">
        <v>13</v>
      </c>
      <c r="M127" s="123">
        <v>15</v>
      </c>
      <c r="AI127" s="4"/>
      <c r="AJ127" s="1028" t="s">
        <v>1636</v>
      </c>
      <c r="AK127" s="1016" t="s">
        <v>1031</v>
      </c>
      <c r="AL127" s="1010" t="s">
        <v>1024</v>
      </c>
      <c r="AM127" s="1009" t="s">
        <v>1025</v>
      </c>
      <c r="AN127" s="1024">
        <v>70</v>
      </c>
      <c r="AO127" s="1011">
        <v>80</v>
      </c>
      <c r="AP127" s="1012">
        <f>(AN127+AO127)/2</f>
        <v>75</v>
      </c>
      <c r="AQ127" s="1006" t="s">
        <v>1637</v>
      </c>
      <c r="AR127" s="1013">
        <f t="shared" si="47"/>
        <v>10</v>
      </c>
      <c r="AS127" s="1017">
        <f t="shared" si="48"/>
        <v>12.777777777777779</v>
      </c>
      <c r="AT127" s="1014">
        <v>48</v>
      </c>
      <c r="AU127" s="1014">
        <v>56</v>
      </c>
    </row>
    <row r="128" spans="2:47" ht="15" customHeight="1">
      <c r="B128" s="100" t="s">
        <v>167</v>
      </c>
      <c r="C128" s="116">
        <f t="shared" si="49"/>
        <v>225</v>
      </c>
      <c r="D128" s="100">
        <v>0.62</v>
      </c>
      <c r="E128" s="116">
        <f>(H$128*I$128)/100</f>
        <v>2.2</v>
      </c>
      <c r="F128" s="116">
        <f>G$128/0.11983</f>
        <v>300</v>
      </c>
      <c r="G128" s="580">
        <v>35.949000000000005</v>
      </c>
      <c r="H128" s="99">
        <v>80</v>
      </c>
      <c r="I128" s="124">
        <v>2.75</v>
      </c>
      <c r="J128" s="20"/>
      <c r="K128" s="20"/>
      <c r="L128" s="20"/>
      <c r="M128" s="20"/>
      <c r="AI128" s="4"/>
      <c r="AJ128" s="1449"/>
      <c r="AK128" s="1449"/>
      <c r="AL128" s="1449"/>
      <c r="AM128" s="1449"/>
      <c r="AN128" s="1449"/>
      <c r="AO128" s="1449"/>
      <c r="AP128" s="1449"/>
      <c r="AQ128" s="1449"/>
      <c r="AR128" s="1449"/>
      <c r="AS128" s="1449"/>
      <c r="AT128" s="1014">
        <v>50</v>
      </c>
      <c r="AU128" s="1014">
        <v>55</v>
      </c>
    </row>
    <row r="129" spans="2:47" ht="15" customHeight="1">
      <c r="B129" s="100" t="s">
        <v>166</v>
      </c>
      <c r="C129" s="116">
        <f t="shared" si="49"/>
        <v>221.25</v>
      </c>
      <c r="D129" s="100">
        <v>0.62</v>
      </c>
      <c r="E129" s="116">
        <f>(H$129*I$129)/100</f>
        <v>4.97</v>
      </c>
      <c r="F129" s="116">
        <f>G$129/0.11983</f>
        <v>295</v>
      </c>
      <c r="G129" s="580">
        <v>35.34985</v>
      </c>
      <c r="H129" s="99">
        <v>71</v>
      </c>
      <c r="I129" s="124">
        <v>7</v>
      </c>
      <c r="J129" s="20"/>
      <c r="K129" s="125"/>
      <c r="L129" s="20"/>
      <c r="M129" s="20"/>
      <c r="AI129" s="4"/>
      <c r="AJ129" s="555" t="s">
        <v>1638</v>
      </c>
      <c r="AK129" s="1032"/>
      <c r="AL129" s="1032"/>
      <c r="AM129" s="1032"/>
      <c r="AN129" s="1032"/>
      <c r="AO129" s="1033"/>
      <c r="AP129" s="1034"/>
      <c r="AQ129" s="1035"/>
      <c r="AR129" s="555"/>
      <c r="AS129" s="555"/>
      <c r="AT129" s="1014">
        <v>67</v>
      </c>
      <c r="AU129" s="1014">
        <v>70</v>
      </c>
    </row>
    <row r="130" spans="2:47" ht="15" customHeight="1">
      <c r="B130" s="100" t="s">
        <v>193</v>
      </c>
      <c r="C130" s="116">
        <f t="shared" si="49"/>
        <v>221.25</v>
      </c>
      <c r="D130" s="100">
        <v>0.62</v>
      </c>
      <c r="E130" s="116">
        <f>(H$130*I$130)/100</f>
        <v>12.15</v>
      </c>
      <c r="F130" s="116">
        <f>G$130/0.11983</f>
        <v>295</v>
      </c>
      <c r="G130" s="580">
        <v>35.34985</v>
      </c>
      <c r="H130" s="99">
        <v>81</v>
      </c>
      <c r="I130" s="100">
        <v>15</v>
      </c>
      <c r="J130" s="117" t="s">
        <v>194</v>
      </c>
      <c r="K130" s="20"/>
      <c r="L130" s="20"/>
      <c r="M130" s="20"/>
      <c r="AI130" s="4"/>
      <c r="AJ130" s="1037"/>
      <c r="AK130" s="1032"/>
      <c r="AL130" s="1032"/>
      <c r="AM130" s="1032"/>
      <c r="AN130" s="1032"/>
      <c r="AO130" s="1033"/>
      <c r="AP130" s="1034"/>
      <c r="AQ130" s="1035"/>
      <c r="AR130" s="555"/>
      <c r="AS130" s="1450"/>
      <c r="AT130" s="1014">
        <v>64</v>
      </c>
      <c r="AU130" s="1014">
        <v>74</v>
      </c>
    </row>
    <row r="131" spans="2:47" ht="15" customHeight="1">
      <c r="B131" s="100" t="s">
        <v>157</v>
      </c>
      <c r="C131" s="116">
        <f t="shared" si="49"/>
        <v>225</v>
      </c>
      <c r="D131" s="100">
        <v>0.62</v>
      </c>
      <c r="E131" s="116">
        <f>(H$131*I$131)/100</f>
        <v>4.1</v>
      </c>
      <c r="F131" s="116">
        <f>G$131/0.11983</f>
        <v>300</v>
      </c>
      <c r="G131" s="580">
        <v>35.949000000000005</v>
      </c>
      <c r="H131" s="99">
        <v>82</v>
      </c>
      <c r="I131" s="124">
        <v>5</v>
      </c>
      <c r="J131" s="126" t="s">
        <v>195</v>
      </c>
      <c r="K131" s="20"/>
      <c r="L131" s="20"/>
      <c r="M131" s="20"/>
      <c r="W131" s="73"/>
      <c r="X131" s="73"/>
      <c r="Z131" s="73"/>
      <c r="AI131" s="4"/>
      <c r="AJ131" s="1038"/>
      <c r="AK131" s="1039" t="s">
        <v>1639</v>
      </c>
      <c r="AL131" s="1040"/>
      <c r="AM131" s="1041" t="s">
        <v>1640</v>
      </c>
      <c r="AN131" s="1042"/>
      <c r="AO131" s="1043"/>
      <c r="AP131" s="1451" t="s">
        <v>1641</v>
      </c>
      <c r="AQ131" s="1043"/>
      <c r="AR131" s="1452"/>
      <c r="AS131" s="1452"/>
      <c r="AT131" s="1014">
        <v>65</v>
      </c>
      <c r="AU131" s="1014">
        <v>85</v>
      </c>
    </row>
    <row r="132" spans="2:47" ht="15" customHeight="1">
      <c r="B132" s="100" t="s">
        <v>196</v>
      </c>
      <c r="C132" s="116">
        <f t="shared" si="49"/>
        <v>221.25</v>
      </c>
      <c r="D132" s="100">
        <v>0.62</v>
      </c>
      <c r="E132" s="116">
        <f>(H$132*I$132)/100</f>
        <v>6.57</v>
      </c>
      <c r="F132" s="116">
        <f>G$132/0.11983</f>
        <v>295</v>
      </c>
      <c r="G132" s="580">
        <v>35.34985</v>
      </c>
      <c r="H132" s="99">
        <v>73</v>
      </c>
      <c r="I132" s="124">
        <v>9</v>
      </c>
      <c r="J132" s="20"/>
      <c r="K132" s="20"/>
      <c r="L132" s="20"/>
      <c r="M132" s="20"/>
      <c r="W132" s="73"/>
      <c r="X132" s="73"/>
      <c r="Z132" s="73"/>
      <c r="AI132" s="4"/>
      <c r="AJ132" s="1038"/>
      <c r="AK132" s="1039" t="s">
        <v>447</v>
      </c>
      <c r="AL132" s="1039" t="s">
        <v>1642</v>
      </c>
      <c r="AM132" s="1041" t="s">
        <v>1643</v>
      </c>
      <c r="AN132" s="1042"/>
      <c r="AO132" s="1043"/>
      <c r="AP132" s="1043"/>
      <c r="AQ132" s="1454" t="s">
        <v>1644</v>
      </c>
      <c r="AR132" s="1041" t="s">
        <v>1645</v>
      </c>
      <c r="AS132" s="1452"/>
      <c r="AT132" s="1014">
        <v>54</v>
      </c>
      <c r="AU132" s="1014">
        <v>77</v>
      </c>
    </row>
    <row r="133" spans="2:47" ht="15" customHeight="1">
      <c r="B133" s="100" t="s">
        <v>198</v>
      </c>
      <c r="C133" s="116">
        <f t="shared" si="49"/>
        <v>228.75</v>
      </c>
      <c r="D133" s="100">
        <v>0.62</v>
      </c>
      <c r="E133" s="116">
        <f>(H$133*I$133)/100</f>
        <v>7.65</v>
      </c>
      <c r="F133" s="116">
        <f>G$133/0.11983</f>
        <v>305</v>
      </c>
      <c r="G133" s="580">
        <v>36.54815</v>
      </c>
      <c r="H133" s="99">
        <v>85</v>
      </c>
      <c r="I133" s="124">
        <v>9</v>
      </c>
      <c r="J133" s="20"/>
      <c r="K133" s="123">
        <v>70</v>
      </c>
      <c r="L133" s="569"/>
      <c r="M133" s="2794" t="s">
        <v>74</v>
      </c>
      <c r="N133" s="2794"/>
      <c r="O133" s="2794"/>
      <c r="S133" s="569"/>
      <c r="T133" s="569"/>
      <c r="U133" s="457"/>
      <c r="W133" s="73"/>
      <c r="X133" s="73"/>
      <c r="Z133" s="73"/>
      <c r="AI133" s="4"/>
      <c r="AJ133" s="1038"/>
      <c r="AK133" s="1039" t="s">
        <v>1646</v>
      </c>
      <c r="AL133" s="1039" t="s">
        <v>1647</v>
      </c>
      <c r="AM133" s="1041" t="s">
        <v>1648</v>
      </c>
      <c r="AN133" s="1042"/>
      <c r="AO133" s="1043"/>
      <c r="AP133" s="1043"/>
      <c r="AQ133" s="1454" t="s">
        <v>1649</v>
      </c>
      <c r="AR133" s="1044" t="s">
        <v>1651</v>
      </c>
      <c r="AS133" s="1452"/>
      <c r="AT133" s="1018">
        <v>50</v>
      </c>
      <c r="AU133" s="1019">
        <v>55</v>
      </c>
    </row>
    <row r="134" spans="2:47" ht="15" customHeight="1">
      <c r="B134" s="100" t="s">
        <v>199</v>
      </c>
      <c r="C134" s="116"/>
      <c r="D134" s="100"/>
      <c r="E134" s="116">
        <f>(H$134*I$134)/100</f>
        <v>0</v>
      </c>
      <c r="F134" s="116">
        <f>G$134/0.11983</f>
        <v>0</v>
      </c>
      <c r="G134" s="581"/>
      <c r="H134" s="99"/>
      <c r="I134" s="124"/>
      <c r="J134" s="20"/>
      <c r="K134" s="20"/>
      <c r="L134" s="457"/>
      <c r="M134" s="2794"/>
      <c r="N134" s="2794"/>
      <c r="O134" s="2794"/>
      <c r="S134" s="569"/>
      <c r="T134" s="569"/>
      <c r="U134" s="457"/>
      <c r="W134" s="73"/>
      <c r="X134" s="73"/>
      <c r="Z134" s="73"/>
      <c r="AI134" s="4"/>
      <c r="AJ134" s="1038"/>
      <c r="AK134" s="1039" t="s">
        <v>1652</v>
      </c>
      <c r="AL134" s="1039" t="s">
        <v>1653</v>
      </c>
      <c r="AM134" s="1045"/>
      <c r="AN134" s="1042"/>
      <c r="AO134" s="1043"/>
      <c r="AP134" s="1043"/>
      <c r="AQ134" s="1454" t="s">
        <v>1654</v>
      </c>
      <c r="AR134" s="1041" t="s">
        <v>1655</v>
      </c>
      <c r="AS134" s="1452"/>
      <c r="AT134" s="1449"/>
      <c r="AU134" s="1449"/>
    </row>
    <row r="135" spans="2:47" ht="13.5">
      <c r="B135" s="75"/>
      <c r="C135" s="80"/>
      <c r="D135" s="20"/>
      <c r="E135" s="20"/>
      <c r="F135" s="557"/>
      <c r="G135" s="582"/>
      <c r="H135" s="575"/>
      <c r="I135" s="20"/>
      <c r="J135" s="20"/>
      <c r="K135" s="20"/>
      <c r="L135" s="457"/>
      <c r="M135" s="2794"/>
      <c r="N135" s="2794"/>
      <c r="O135" s="2794"/>
      <c r="S135" s="569"/>
      <c r="T135" s="569"/>
      <c r="U135" s="457"/>
      <c r="W135" s="73"/>
      <c r="X135" s="73"/>
      <c r="Z135" s="73"/>
      <c r="AI135" s="4"/>
      <c r="AJ135" s="1038"/>
      <c r="AK135" s="1039" t="s">
        <v>1656</v>
      </c>
      <c r="AL135" s="1039" t="s">
        <v>1657</v>
      </c>
      <c r="AM135" s="1045"/>
      <c r="AN135" s="1042"/>
      <c r="AO135" s="1043"/>
      <c r="AP135" s="1043"/>
      <c r="AQ135" s="1454" t="s">
        <v>1658</v>
      </c>
      <c r="AR135" s="1041" t="s">
        <v>1659</v>
      </c>
      <c r="AS135" s="1452"/>
      <c r="AT135" s="555"/>
      <c r="AU135" s="1036"/>
    </row>
    <row r="136" spans="2:47" ht="14.25" customHeight="1">
      <c r="B136" s="100" t="s">
        <v>200</v>
      </c>
      <c r="C136" s="116">
        <f>F$136</f>
        <v>309.6052741383627</v>
      </c>
      <c r="D136" s="100">
        <v>0.62</v>
      </c>
      <c r="E136" s="116">
        <f>(H$136*I$136)/100</f>
        <v>5.5</v>
      </c>
      <c r="F136" s="116">
        <f>G$136/0.11983</f>
        <v>309.6052741383627</v>
      </c>
      <c r="G136" s="581">
        <v>37.1</v>
      </c>
      <c r="H136" s="99">
        <v>100</v>
      </c>
      <c r="I136" s="100">
        <v>5.5</v>
      </c>
      <c r="J136" s="20"/>
      <c r="K136" s="123"/>
      <c r="L136" s="457"/>
      <c r="M136" s="2794"/>
      <c r="N136" s="2794"/>
      <c r="O136" s="2794"/>
      <c r="S136" s="569"/>
      <c r="T136" s="569"/>
      <c r="U136" s="457"/>
      <c r="W136" s="73"/>
      <c r="X136" s="73"/>
      <c r="Z136" s="73"/>
      <c r="AI136" s="4"/>
      <c r="AJ136" s="1038"/>
      <c r="AK136" s="1040" t="s">
        <v>1660</v>
      </c>
      <c r="AL136" s="1040"/>
      <c r="AM136" s="1045"/>
      <c r="AN136" s="1042"/>
      <c r="AO136" s="1043"/>
      <c r="AP136" s="1043"/>
      <c r="AQ136" s="1454" t="s">
        <v>1661</v>
      </c>
      <c r="AR136" s="1041" t="s">
        <v>1662</v>
      </c>
      <c r="AS136" s="1452"/>
      <c r="AT136" s="555"/>
      <c r="AU136" s="1036"/>
    </row>
    <row r="137" spans="2:47" ht="13.5">
      <c r="B137" s="100" t="s">
        <v>168</v>
      </c>
      <c r="C137" s="116">
        <f>F$137</f>
        <v>309.6052741383627</v>
      </c>
      <c r="D137" s="100">
        <v>0.62</v>
      </c>
      <c r="E137" s="116">
        <f>(H$137*I$137)/100</f>
        <v>10</v>
      </c>
      <c r="F137" s="116">
        <f>G$137/0.11983</f>
        <v>309.6052741383627</v>
      </c>
      <c r="G137" s="581">
        <v>37.1</v>
      </c>
      <c r="H137" s="99">
        <v>100</v>
      </c>
      <c r="I137" s="100">
        <v>10</v>
      </c>
      <c r="J137" s="20"/>
      <c r="K137" s="20"/>
      <c r="L137" s="457"/>
      <c r="M137" s="2794"/>
      <c r="N137" s="2794"/>
      <c r="O137" s="2794"/>
      <c r="S137" s="569"/>
      <c r="T137" s="569"/>
      <c r="U137" s="457"/>
      <c r="W137" s="73"/>
      <c r="X137" s="73"/>
      <c r="Z137" s="73"/>
      <c r="AI137" s="4"/>
      <c r="AJ137" s="1038"/>
      <c r="AK137" s="1040" t="s">
        <v>1663</v>
      </c>
      <c r="AL137" s="1040"/>
      <c r="AM137" s="1040"/>
      <c r="AN137" s="1046"/>
      <c r="AO137" s="1047"/>
      <c r="AP137" s="1048"/>
      <c r="AQ137" s="1043"/>
      <c r="AR137" s="1455"/>
      <c r="AS137" s="1455"/>
      <c r="AT137" s="1452"/>
      <c r="AU137" s="1453"/>
    </row>
    <row r="138" spans="2:35" ht="13.5">
      <c r="B138" s="100" t="s">
        <v>201</v>
      </c>
      <c r="C138" s="116">
        <f>F$138</f>
        <v>309.6052741383627</v>
      </c>
      <c r="D138" s="100">
        <v>0.62</v>
      </c>
      <c r="E138" s="116">
        <f>(H$138*I$138)/100</f>
        <v>18</v>
      </c>
      <c r="F138" s="116">
        <f>G$138/0.11983</f>
        <v>309.6052741383627</v>
      </c>
      <c r="G138" s="581">
        <v>37.1</v>
      </c>
      <c r="H138" s="99">
        <v>100</v>
      </c>
      <c r="I138" s="100">
        <v>18</v>
      </c>
      <c r="J138" s="20"/>
      <c r="K138" s="20"/>
      <c r="L138" s="457"/>
      <c r="M138" s="2794"/>
      <c r="N138" s="2794"/>
      <c r="O138" s="2794"/>
      <c r="S138" s="1508"/>
      <c r="T138" s="569"/>
      <c r="U138" s="457"/>
      <c r="W138" s="73"/>
      <c r="X138" s="73"/>
      <c r="Z138" s="73"/>
      <c r="AI138" s="4"/>
    </row>
    <row r="139" spans="2:26" ht="13.5">
      <c r="B139" s="100" t="s">
        <v>202</v>
      </c>
      <c r="C139" s="116">
        <f>F$139</f>
        <v>309.6052741383627</v>
      </c>
      <c r="D139" s="100">
        <v>0.62</v>
      </c>
      <c r="E139" s="116">
        <f>(H$139*I$139)/100</f>
        <v>55</v>
      </c>
      <c r="F139" s="116">
        <f>G$139/0.11983</f>
        <v>309.6052741383627</v>
      </c>
      <c r="G139" s="581">
        <v>37.1</v>
      </c>
      <c r="H139" s="99">
        <v>100</v>
      </c>
      <c r="I139" s="100">
        <v>55</v>
      </c>
      <c r="J139" s="20"/>
      <c r="K139" s="20"/>
      <c r="L139" s="457"/>
      <c r="M139" s="2794"/>
      <c r="N139" s="2794"/>
      <c r="O139" s="2794"/>
      <c r="S139" s="1510"/>
      <c r="T139" s="457"/>
      <c r="U139" s="457"/>
      <c r="W139" s="73"/>
      <c r="X139" s="73"/>
      <c r="Z139" s="73"/>
    </row>
    <row r="140" spans="2:26" ht="14.25" customHeight="1">
      <c r="B140" s="100" t="s">
        <v>203</v>
      </c>
      <c r="C140" s="116">
        <f>F$140</f>
        <v>309.6052741383627</v>
      </c>
      <c r="D140" s="100">
        <v>0.62</v>
      </c>
      <c r="E140" s="116">
        <f>(H$140*I$140)/100</f>
        <v>9</v>
      </c>
      <c r="F140" s="116">
        <f>G$140/0.11983</f>
        <v>309.6052741383627</v>
      </c>
      <c r="G140" s="581">
        <v>37.1</v>
      </c>
      <c r="H140" s="99">
        <v>100</v>
      </c>
      <c r="I140" s="124">
        <v>9</v>
      </c>
      <c r="J140" s="20"/>
      <c r="K140" s="123" t="s">
        <v>507</v>
      </c>
      <c r="L140" s="123"/>
      <c r="M140" s="2794"/>
      <c r="N140" s="2794"/>
      <c r="O140" s="2794"/>
      <c r="W140" s="73"/>
      <c r="X140" s="73"/>
      <c r="Z140" s="73"/>
    </row>
    <row r="141" spans="2:26" ht="15" customHeight="1">
      <c r="B141" s="100" t="s">
        <v>211</v>
      </c>
      <c r="C141" s="116">
        <f>F$141</f>
        <v>364.68330134357007</v>
      </c>
      <c r="D141" s="100">
        <v>0.62</v>
      </c>
      <c r="E141" s="116">
        <f>(H$141*I$141)/100</f>
        <v>6</v>
      </c>
      <c r="F141" s="116">
        <f>G$141/0.11983</f>
        <v>364.68330134357007</v>
      </c>
      <c r="G141" s="581">
        <v>43.7</v>
      </c>
      <c r="H141" s="99">
        <v>100</v>
      </c>
      <c r="I141" s="124">
        <v>6</v>
      </c>
      <c r="J141" s="20"/>
      <c r="K141" s="20"/>
      <c r="L141" s="20"/>
      <c r="M141" s="20"/>
      <c r="W141" s="73"/>
      <c r="X141" s="73"/>
      <c r="Z141" s="73"/>
    </row>
    <row r="142" spans="2:26" ht="15" customHeight="1">
      <c r="B142" s="100" t="s">
        <v>169</v>
      </c>
      <c r="C142" s="116">
        <f>F$142</f>
        <v>364.68330134357007</v>
      </c>
      <c r="D142" s="100">
        <v>0.62</v>
      </c>
      <c r="E142" s="116">
        <f>(H$142*I$142)/100</f>
        <v>9.5</v>
      </c>
      <c r="F142" s="116">
        <f>G$142/0.11983</f>
        <v>364.68330134357007</v>
      </c>
      <c r="G142" s="581">
        <v>43.7</v>
      </c>
      <c r="H142" s="99">
        <v>100</v>
      </c>
      <c r="I142" s="100">
        <v>9.5</v>
      </c>
      <c r="J142" s="20"/>
      <c r="K142" s="20"/>
      <c r="L142" s="20"/>
      <c r="M142" s="20"/>
      <c r="W142" s="73"/>
      <c r="X142" s="73"/>
      <c r="Z142" s="73"/>
    </row>
    <row r="143" spans="2:26" ht="15" customHeight="1">
      <c r="B143" s="100" t="s">
        <v>212</v>
      </c>
      <c r="C143" s="116">
        <f>F$143</f>
        <v>364.68330134357007</v>
      </c>
      <c r="D143" s="100">
        <v>0.62</v>
      </c>
      <c r="E143" s="116">
        <f>(H$143*I$143)/100</f>
        <v>34</v>
      </c>
      <c r="F143" s="116">
        <f>G$143/0.11983</f>
        <v>364.68330134357007</v>
      </c>
      <c r="G143" s="581">
        <v>43.7</v>
      </c>
      <c r="H143" s="99">
        <v>100</v>
      </c>
      <c r="I143" s="100">
        <v>34</v>
      </c>
      <c r="J143" s="20"/>
      <c r="K143" s="20"/>
      <c r="L143" s="20"/>
      <c r="M143" s="20"/>
      <c r="W143" s="73"/>
      <c r="X143" s="73"/>
      <c r="Z143" s="73"/>
    </row>
    <row r="144" spans="2:26" ht="15" customHeight="1">
      <c r="B144" s="100" t="s">
        <v>213</v>
      </c>
      <c r="C144" s="116">
        <f>F$144</f>
        <v>364.68330134357007</v>
      </c>
      <c r="D144" s="100">
        <v>0.62</v>
      </c>
      <c r="E144" s="116">
        <f>(H$144*I$144)/100</f>
        <v>57</v>
      </c>
      <c r="F144" s="116">
        <f>G$144/0.11983</f>
        <v>364.68330134357007</v>
      </c>
      <c r="G144" s="581">
        <v>43.7</v>
      </c>
      <c r="H144" s="99">
        <v>100</v>
      </c>
      <c r="I144" s="100">
        <v>57</v>
      </c>
      <c r="J144" s="117" t="s">
        <v>546</v>
      </c>
      <c r="K144" s="20"/>
      <c r="L144" s="20"/>
      <c r="M144" s="20"/>
      <c r="W144" s="73"/>
      <c r="X144" s="73"/>
      <c r="Z144" s="73"/>
    </row>
    <row r="145" spans="2:13" ht="15" customHeight="1">
      <c r="B145" s="100" t="s">
        <v>214</v>
      </c>
      <c r="C145" s="116">
        <f>F$145</f>
        <v>364.68330134357007</v>
      </c>
      <c r="D145" s="100">
        <v>0.62</v>
      </c>
      <c r="E145" s="116">
        <f>(H$145*I$145)/100</f>
        <v>95</v>
      </c>
      <c r="F145" s="116">
        <f>G$145/0.11983</f>
        <v>364.68330134357007</v>
      </c>
      <c r="G145" s="581">
        <v>43.7</v>
      </c>
      <c r="H145" s="99">
        <v>100</v>
      </c>
      <c r="I145" s="100">
        <v>95</v>
      </c>
      <c r="J145" s="126" t="s">
        <v>195</v>
      </c>
      <c r="K145" s="123"/>
      <c r="L145" s="20"/>
      <c r="M145" s="20"/>
    </row>
    <row r="146" spans="2:13" ht="15" customHeight="1">
      <c r="B146" s="100" t="s">
        <v>215</v>
      </c>
      <c r="C146" s="116">
        <f>F$146</f>
        <v>364.68330134357007</v>
      </c>
      <c r="D146" s="100">
        <v>0.62</v>
      </c>
      <c r="E146" s="116">
        <f>(H$146*I$146)/100</f>
        <v>6</v>
      </c>
      <c r="F146" s="116">
        <f>G$146/0.11983</f>
        <v>364.68330134357007</v>
      </c>
      <c r="G146" s="581">
        <v>43.7</v>
      </c>
      <c r="H146" s="99">
        <v>100</v>
      </c>
      <c r="I146" s="124">
        <v>6</v>
      </c>
      <c r="K146" s="123">
        <v>50</v>
      </c>
      <c r="L146" s="123">
        <v>58</v>
      </c>
      <c r="M146" s="123">
        <v>62</v>
      </c>
    </row>
    <row r="147" spans="2:13" ht="15" customHeight="1">
      <c r="B147" s="100" t="s">
        <v>478</v>
      </c>
      <c r="C147" s="116">
        <f aca="true" t="shared" si="50" ref="C147:C154">F147*$C$24/100</f>
        <v>194.25</v>
      </c>
      <c r="D147" s="100">
        <v>0.62</v>
      </c>
      <c r="E147" s="116">
        <f>(H$147*I$147)/100</f>
        <v>908.8</v>
      </c>
      <c r="F147" s="116">
        <f>G$147/0.11983</f>
        <v>259</v>
      </c>
      <c r="G147" s="583">
        <v>31.035970000000002</v>
      </c>
      <c r="H147" s="99">
        <v>71</v>
      </c>
      <c r="I147" s="100">
        <v>1280</v>
      </c>
      <c r="J147" s="20"/>
      <c r="K147" s="123">
        <v>10</v>
      </c>
      <c r="L147" s="123">
        <v>13</v>
      </c>
      <c r="M147" s="123">
        <v>15</v>
      </c>
    </row>
    <row r="148" spans="2:13" ht="15" customHeight="1">
      <c r="B148" s="100" t="s">
        <v>216</v>
      </c>
      <c r="C148" s="116">
        <f t="shared" si="50"/>
        <v>206.25</v>
      </c>
      <c r="D148" s="100">
        <v>0.62</v>
      </c>
      <c r="E148" s="116">
        <f>(H$148*I$148)/100</f>
        <v>24.85</v>
      </c>
      <c r="F148" s="116">
        <f>G$148/0.11983</f>
        <v>275</v>
      </c>
      <c r="G148" s="583">
        <v>32.953250000000004</v>
      </c>
      <c r="H148" s="99">
        <v>71</v>
      </c>
      <c r="I148" s="100">
        <v>35</v>
      </c>
      <c r="J148" s="20"/>
      <c r="K148" s="123">
        <v>10</v>
      </c>
      <c r="L148" s="123">
        <v>13</v>
      </c>
      <c r="M148" s="123">
        <v>15</v>
      </c>
    </row>
    <row r="149" spans="2:13" ht="15" customHeight="1">
      <c r="B149" s="100" t="s">
        <v>217</v>
      </c>
      <c r="C149" s="116">
        <f t="shared" si="50"/>
        <v>201</v>
      </c>
      <c r="D149" s="100">
        <v>0.62</v>
      </c>
      <c r="E149" s="116">
        <f>(H$149*I$149)/100</f>
        <v>3.04</v>
      </c>
      <c r="F149" s="116">
        <f>G$149/0.11983</f>
        <v>268</v>
      </c>
      <c r="G149" s="583">
        <v>32.11444</v>
      </c>
      <c r="H149" s="99">
        <v>76</v>
      </c>
      <c r="I149" s="124">
        <v>4</v>
      </c>
      <c r="J149" s="20"/>
      <c r="K149" s="123">
        <v>10</v>
      </c>
      <c r="L149" s="123">
        <v>13</v>
      </c>
      <c r="M149" s="123">
        <v>15</v>
      </c>
    </row>
    <row r="150" spans="2:13" ht="15" customHeight="1">
      <c r="B150" s="100" t="s">
        <v>479</v>
      </c>
      <c r="C150" s="116">
        <f t="shared" si="50"/>
        <v>213.75</v>
      </c>
      <c r="D150" s="100">
        <v>0.62</v>
      </c>
      <c r="E150" s="116">
        <f>(H$150*I$150)/100</f>
        <v>763.2</v>
      </c>
      <c r="F150" s="116">
        <f>G$150/0.11983</f>
        <v>285</v>
      </c>
      <c r="G150" s="583">
        <v>34.15155</v>
      </c>
      <c r="H150" s="99">
        <v>72</v>
      </c>
      <c r="I150" s="100">
        <v>1060</v>
      </c>
      <c r="J150" s="20"/>
      <c r="K150" s="123">
        <v>5</v>
      </c>
      <c r="L150" s="123">
        <v>7</v>
      </c>
      <c r="M150" s="123">
        <v>8</v>
      </c>
    </row>
    <row r="151" spans="2:13" ht="15" customHeight="1">
      <c r="B151" s="100" t="s">
        <v>480</v>
      </c>
      <c r="C151" s="116">
        <f t="shared" si="50"/>
        <v>212.25</v>
      </c>
      <c r="D151" s="100">
        <v>0.62</v>
      </c>
      <c r="E151" s="116">
        <f>(H$151*I$151)/100</f>
        <v>77.7</v>
      </c>
      <c r="F151" s="116">
        <f>G$151/0.11983</f>
        <v>283</v>
      </c>
      <c r="G151" s="583">
        <v>33.91189</v>
      </c>
      <c r="H151" s="99">
        <v>74</v>
      </c>
      <c r="I151" s="100">
        <v>105</v>
      </c>
      <c r="J151" s="20"/>
      <c r="K151" s="123">
        <v>20</v>
      </c>
      <c r="L151" s="123">
        <v>26</v>
      </c>
      <c r="M151" s="123">
        <v>29</v>
      </c>
    </row>
    <row r="152" spans="2:13" ht="15" customHeight="1">
      <c r="B152" s="100" t="s">
        <v>482</v>
      </c>
      <c r="C152" s="116">
        <f t="shared" si="50"/>
        <v>204</v>
      </c>
      <c r="D152" s="100">
        <v>0.62</v>
      </c>
      <c r="E152" s="116">
        <f>(H$152*I$152)/100</f>
        <v>103.6</v>
      </c>
      <c r="F152" s="116">
        <f>G$152/0.11983</f>
        <v>272</v>
      </c>
      <c r="G152" s="583">
        <v>32.59376</v>
      </c>
      <c r="H152" s="99">
        <v>74</v>
      </c>
      <c r="I152" s="100">
        <v>140</v>
      </c>
      <c r="J152" s="20"/>
      <c r="K152" s="123">
        <v>20</v>
      </c>
      <c r="L152" s="123">
        <v>26</v>
      </c>
      <c r="M152" s="123">
        <v>29</v>
      </c>
    </row>
    <row r="153" spans="2:14" ht="15" customHeight="1">
      <c r="B153" s="100" t="s">
        <v>483</v>
      </c>
      <c r="C153" s="116">
        <f t="shared" si="50"/>
        <v>203.25</v>
      </c>
      <c r="D153" s="100">
        <v>0.62</v>
      </c>
      <c r="E153" s="116">
        <f>(H$153*I$153)/100</f>
        <v>148</v>
      </c>
      <c r="F153" s="116">
        <f>G$153/0.11983</f>
        <v>271</v>
      </c>
      <c r="G153" s="583">
        <v>32.47393</v>
      </c>
      <c r="H153" s="99">
        <v>74</v>
      </c>
      <c r="I153" s="100">
        <v>200</v>
      </c>
      <c r="J153" s="20"/>
      <c r="K153" s="123">
        <v>20</v>
      </c>
      <c r="L153" s="123">
        <v>26</v>
      </c>
      <c r="M153" s="123">
        <v>29</v>
      </c>
      <c r="N153" s="128"/>
    </row>
    <row r="154" spans="2:14" ht="15" customHeight="1">
      <c r="B154" s="100" t="s">
        <v>484</v>
      </c>
      <c r="C154" s="116">
        <f t="shared" si="50"/>
        <v>207</v>
      </c>
      <c r="D154" s="100">
        <v>0.62</v>
      </c>
      <c r="E154" s="116">
        <f>(H$154*I$154)/100</f>
        <v>902.8</v>
      </c>
      <c r="F154" s="116">
        <f>G$154/0.11983</f>
        <v>276</v>
      </c>
      <c r="G154" s="583">
        <v>33.073080000000004</v>
      </c>
      <c r="H154" s="99">
        <v>74</v>
      </c>
      <c r="I154" s="100">
        <v>1220</v>
      </c>
      <c r="J154" s="20"/>
      <c r="K154" s="123">
        <v>10</v>
      </c>
      <c r="L154" s="123">
        <v>13</v>
      </c>
      <c r="M154" s="123">
        <v>15</v>
      </c>
      <c r="N154" s="128"/>
    </row>
    <row r="155" spans="2:13" ht="15" customHeight="1">
      <c r="B155" s="81"/>
      <c r="C155" s="129"/>
      <c r="D155" s="115"/>
      <c r="E155" s="115"/>
      <c r="F155" s="130"/>
      <c r="G155" s="582"/>
      <c r="H155" s="576"/>
      <c r="I155" s="115"/>
      <c r="J155" s="20"/>
      <c r="K155" s="20"/>
      <c r="L155" s="20"/>
      <c r="M155" s="20"/>
    </row>
    <row r="156" spans="2:13" ht="15" customHeight="1">
      <c r="B156" s="100" t="s">
        <v>486</v>
      </c>
      <c r="C156" s="131">
        <f>F$156</f>
        <v>370</v>
      </c>
      <c r="D156" s="100">
        <v>1</v>
      </c>
      <c r="E156" s="116">
        <f>(H$156*I$156)/100</f>
        <v>16</v>
      </c>
      <c r="F156" s="116">
        <f>G$156/0.11983</f>
        <v>370</v>
      </c>
      <c r="G156" s="583">
        <v>44.3371</v>
      </c>
      <c r="H156" s="99">
        <v>100</v>
      </c>
      <c r="I156" s="100">
        <v>16</v>
      </c>
      <c r="J156" s="20"/>
      <c r="K156" s="123"/>
      <c r="L156" s="20"/>
      <c r="M156" s="20"/>
    </row>
    <row r="157" spans="2:13" ht="15" customHeight="1">
      <c r="B157" s="100" t="s">
        <v>218</v>
      </c>
      <c r="C157" s="131">
        <f>F$157</f>
        <v>370</v>
      </c>
      <c r="D157" s="100">
        <v>1</v>
      </c>
      <c r="E157" s="116">
        <f>(H$154*I$157)/100</f>
        <v>33.3</v>
      </c>
      <c r="F157" s="116">
        <f>G$157/0.11983</f>
        <v>370</v>
      </c>
      <c r="G157" s="583">
        <v>44.3371</v>
      </c>
      <c r="H157" s="99">
        <v>100</v>
      </c>
      <c r="I157" s="100">
        <v>45</v>
      </c>
      <c r="J157" s="20"/>
      <c r="K157" s="123"/>
      <c r="L157" s="20"/>
      <c r="M157" s="20"/>
    </row>
    <row r="158" spans="2:13" ht="15" customHeight="1">
      <c r="B158" s="100" t="s">
        <v>219</v>
      </c>
      <c r="C158" s="131">
        <f>F$158</f>
        <v>370</v>
      </c>
      <c r="D158" s="100">
        <v>1</v>
      </c>
      <c r="E158" s="116">
        <f>(H$158*I$158)/100</f>
        <v>90</v>
      </c>
      <c r="F158" s="116">
        <f>G$158/0.11983</f>
        <v>370</v>
      </c>
      <c r="G158" s="583">
        <v>44.3371</v>
      </c>
      <c r="H158" s="99">
        <v>100</v>
      </c>
      <c r="I158" s="100">
        <v>90</v>
      </c>
      <c r="J158" s="20"/>
      <c r="K158" s="123">
        <f>0.6*375</f>
        <v>225</v>
      </c>
      <c r="L158" s="20"/>
      <c r="M158" s="20"/>
    </row>
    <row r="159" spans="2:13" ht="15" customHeight="1">
      <c r="B159" s="100" t="s">
        <v>485</v>
      </c>
      <c r="C159" s="131">
        <f>F$159</f>
        <v>375</v>
      </c>
      <c r="D159" s="100">
        <v>1</v>
      </c>
      <c r="E159" s="116">
        <f>(H$159*I$159)/100</f>
        <v>0</v>
      </c>
      <c r="F159" s="116">
        <f>G$159/0.11983</f>
        <v>375</v>
      </c>
      <c r="G159" s="583">
        <v>44.93625</v>
      </c>
      <c r="H159" s="99">
        <v>100</v>
      </c>
      <c r="I159" s="100"/>
      <c r="J159" s="20"/>
      <c r="K159" s="123">
        <f>0.7*375</f>
        <v>262.5</v>
      </c>
      <c r="L159" s="20"/>
      <c r="M159" s="20"/>
    </row>
    <row r="160" spans="2:13" ht="15" customHeight="1">
      <c r="B160" s="279" t="s">
        <v>260</v>
      </c>
      <c r="C160" s="131">
        <f>F$160</f>
        <v>319</v>
      </c>
      <c r="D160" s="100">
        <v>0.8</v>
      </c>
      <c r="E160" s="116">
        <f>(H$160*I$160)/100</f>
        <v>0</v>
      </c>
      <c r="F160" s="116">
        <f>G$160/0.11983</f>
        <v>319</v>
      </c>
      <c r="G160" s="583">
        <v>38.225770000000004</v>
      </c>
      <c r="H160" s="99">
        <v>100</v>
      </c>
      <c r="I160" s="100"/>
      <c r="J160" s="20"/>
      <c r="K160" s="123"/>
      <c r="L160" s="20"/>
      <c r="M160" s="20"/>
    </row>
    <row r="161" spans="2:13" ht="15" customHeight="1">
      <c r="B161" s="587" t="s">
        <v>487</v>
      </c>
      <c r="C161" s="131">
        <f>F$161</f>
        <v>319</v>
      </c>
      <c r="D161" s="100">
        <v>0.85</v>
      </c>
      <c r="E161" s="116">
        <f>(H$161*I$161)/100</f>
        <v>0</v>
      </c>
      <c r="F161" s="116">
        <f>G$161/0.11983</f>
        <v>319</v>
      </c>
      <c r="G161" s="583">
        <v>38.225770000000004</v>
      </c>
      <c r="H161" s="99">
        <v>100</v>
      </c>
      <c r="I161" s="100"/>
      <c r="J161" s="20"/>
      <c r="K161" s="123"/>
      <c r="L161" s="20"/>
      <c r="M161" s="20"/>
    </row>
    <row r="162" spans="2:13" ht="15" customHeight="1">
      <c r="B162" s="280" t="s">
        <v>488</v>
      </c>
      <c r="C162" s="131">
        <f>F$162</f>
        <v>380</v>
      </c>
      <c r="D162" s="100">
        <v>0</v>
      </c>
      <c r="E162" s="116">
        <f>(H$162*I$162)/100</f>
        <v>30</v>
      </c>
      <c r="F162" s="116">
        <f>G$162/0.11983</f>
        <v>380</v>
      </c>
      <c r="G162" s="583">
        <v>45.5354</v>
      </c>
      <c r="H162" s="99">
        <v>100</v>
      </c>
      <c r="I162" s="100">
        <v>30</v>
      </c>
      <c r="J162" s="20" t="s">
        <v>220</v>
      </c>
      <c r="K162" s="20"/>
      <c r="L162" s="20"/>
      <c r="M162" s="20"/>
    </row>
    <row r="163" spans="2:13" ht="15" customHeight="1">
      <c r="B163" s="100" t="s">
        <v>221</v>
      </c>
      <c r="C163" s="131">
        <f>F$163</f>
        <v>319</v>
      </c>
      <c r="D163" s="100">
        <v>0.35</v>
      </c>
      <c r="E163" s="116">
        <f>(H$163*I$163)/100</f>
        <v>0</v>
      </c>
      <c r="F163" s="116">
        <f>G$163/0.11983</f>
        <v>319</v>
      </c>
      <c r="G163" s="583">
        <v>38.225770000000004</v>
      </c>
      <c r="H163" s="99">
        <v>100</v>
      </c>
      <c r="I163" s="100"/>
      <c r="J163" s="126" t="s">
        <v>222</v>
      </c>
      <c r="K163" s="20"/>
      <c r="L163" s="20"/>
      <c r="M163" s="20"/>
    </row>
    <row r="164" spans="2:13" ht="15" customHeight="1">
      <c r="B164" s="76"/>
      <c r="C164" s="76"/>
      <c r="D164" s="20"/>
      <c r="E164" s="20"/>
      <c r="F164" s="127"/>
      <c r="G164" s="127"/>
      <c r="H164" s="575"/>
      <c r="I164" s="115"/>
      <c r="J164" s="20"/>
      <c r="K164" s="345">
        <v>30</v>
      </c>
      <c r="L164" s="345">
        <v>39</v>
      </c>
      <c r="M164" s="345">
        <v>44</v>
      </c>
    </row>
    <row r="165" spans="2:13" ht="15" customHeight="1">
      <c r="B165" s="100" t="s">
        <v>223</v>
      </c>
      <c r="C165" s="131">
        <f>F$165</f>
        <v>279</v>
      </c>
      <c r="D165" s="100">
        <v>0.75</v>
      </c>
      <c r="E165" s="116">
        <f>(H$165*I$165)/100</f>
        <v>0</v>
      </c>
      <c r="F165" s="116">
        <f>G$165/0.11983</f>
        <v>279</v>
      </c>
      <c r="G165" s="580">
        <v>33.43257</v>
      </c>
      <c r="H165" s="577"/>
      <c r="I165" s="116">
        <f>(G165*H165)/100</f>
        <v>0</v>
      </c>
      <c r="J165" s="20"/>
      <c r="K165" s="20"/>
      <c r="L165" s="20"/>
      <c r="M165" s="20"/>
    </row>
    <row r="166" spans="2:13" ht="15" customHeight="1">
      <c r="B166" s="100" t="s">
        <v>224</v>
      </c>
      <c r="C166" s="131">
        <f>F$166</f>
        <v>300</v>
      </c>
      <c r="D166" s="100">
        <v>0.8</v>
      </c>
      <c r="E166" s="116">
        <f>(H$166*I$166)/100</f>
        <v>0</v>
      </c>
      <c r="F166" s="116">
        <f>G$166/0.11983</f>
        <v>300</v>
      </c>
      <c r="G166" s="580">
        <v>35.949000000000005</v>
      </c>
      <c r="H166" s="577"/>
      <c r="I166" s="116">
        <f>(G166*H166)/100</f>
        <v>0</v>
      </c>
      <c r="J166" s="20"/>
      <c r="K166" s="20"/>
      <c r="L166" s="20"/>
      <c r="M166" s="20"/>
    </row>
    <row r="167" spans="2:13" ht="15" customHeight="1">
      <c r="B167" s="100" t="s">
        <v>225</v>
      </c>
      <c r="C167" s="131">
        <f>F$167</f>
        <v>300</v>
      </c>
      <c r="D167" s="100">
        <v>0.75</v>
      </c>
      <c r="E167" s="116">
        <f>(H$167*I$167)/100</f>
        <v>0</v>
      </c>
      <c r="F167" s="116">
        <f>G$167/0.11983</f>
        <v>300</v>
      </c>
      <c r="G167" s="580">
        <v>35.949000000000005</v>
      </c>
      <c r="H167" s="577"/>
      <c r="I167" s="116">
        <f>(G167*H167)/100</f>
        <v>0</v>
      </c>
      <c r="J167" s="20"/>
      <c r="K167" s="20"/>
      <c r="L167" s="20"/>
      <c r="M167" s="20"/>
    </row>
    <row r="168" spans="2:13" ht="15" customHeight="1">
      <c r="B168" s="81"/>
      <c r="C168" s="81"/>
      <c r="D168" s="20"/>
      <c r="E168" s="20"/>
      <c r="F168" s="127"/>
      <c r="G168" s="584"/>
      <c r="H168" s="578"/>
      <c r="I168" s="115"/>
      <c r="J168" s="20"/>
      <c r="K168" s="20"/>
      <c r="L168" s="20"/>
      <c r="M168" s="20"/>
    </row>
    <row r="169" spans="2:13" ht="15" customHeight="1">
      <c r="B169" s="100" t="s">
        <v>170</v>
      </c>
      <c r="C169" s="116">
        <f aca="true" t="shared" si="51" ref="C169:C177">F169*$C$24/100</f>
        <v>195</v>
      </c>
      <c r="D169" s="100">
        <v>0.62</v>
      </c>
      <c r="E169" s="116">
        <f>(H$169*I$169)/100</f>
        <v>1.775</v>
      </c>
      <c r="F169" s="116">
        <f>G$169/0.11983</f>
        <v>260</v>
      </c>
      <c r="G169" s="580">
        <v>31.155800000000003</v>
      </c>
      <c r="H169" s="99">
        <v>71</v>
      </c>
      <c r="I169" s="124">
        <v>2.5</v>
      </c>
      <c r="J169" s="20"/>
      <c r="K169" s="123">
        <v>20</v>
      </c>
      <c r="L169" s="123">
        <v>26</v>
      </c>
      <c r="M169" s="123">
        <v>29</v>
      </c>
    </row>
    <row r="170" spans="2:13" ht="15" customHeight="1">
      <c r="B170" s="100" t="s">
        <v>171</v>
      </c>
      <c r="C170" s="116">
        <f t="shared" si="51"/>
        <v>234.75</v>
      </c>
      <c r="D170" s="100">
        <v>0.62</v>
      </c>
      <c r="E170" s="116">
        <f>(H$170*I$170)/100</f>
        <v>0.71</v>
      </c>
      <c r="F170" s="116">
        <f>G$170/0.11983</f>
        <v>313</v>
      </c>
      <c r="G170" s="580">
        <v>37.50679</v>
      </c>
      <c r="H170" s="99">
        <v>71</v>
      </c>
      <c r="I170" s="124">
        <v>1</v>
      </c>
      <c r="J170" s="20"/>
      <c r="K170" s="123"/>
      <c r="L170" s="20"/>
      <c r="M170" s="20"/>
    </row>
    <row r="171" spans="2:13" ht="15" customHeight="1">
      <c r="B171" s="100" t="s">
        <v>226</v>
      </c>
      <c r="C171" s="116">
        <f t="shared" si="51"/>
        <v>232.5</v>
      </c>
      <c r="D171" s="100">
        <v>0.62</v>
      </c>
      <c r="E171" s="116">
        <f>(H$171*I$171)/100</f>
        <v>0</v>
      </c>
      <c r="F171" s="116">
        <f>G$171/0.11983</f>
        <v>310</v>
      </c>
      <c r="G171" s="580">
        <v>37.1473</v>
      </c>
      <c r="H171" s="99">
        <v>71</v>
      </c>
      <c r="I171" s="124"/>
      <c r="J171" s="20"/>
      <c r="K171" s="123"/>
      <c r="L171" s="20"/>
      <c r="M171" s="20"/>
    </row>
    <row r="172" spans="2:13" ht="15" customHeight="1">
      <c r="B172" s="100" t="s">
        <v>227</v>
      </c>
      <c r="C172" s="116">
        <f t="shared" si="51"/>
        <v>195</v>
      </c>
      <c r="D172" s="100">
        <v>0.62</v>
      </c>
      <c r="E172" s="116">
        <f>(H$172*I$172)/100</f>
        <v>2.13</v>
      </c>
      <c r="F172" s="116">
        <f>G$172/0.11983</f>
        <v>260</v>
      </c>
      <c r="G172" s="580">
        <v>31.155800000000003</v>
      </c>
      <c r="H172" s="99">
        <v>71</v>
      </c>
      <c r="I172" s="124">
        <v>3</v>
      </c>
      <c r="J172" s="20"/>
      <c r="K172" s="123"/>
      <c r="L172" s="20"/>
      <c r="M172" s="20"/>
    </row>
    <row r="173" spans="2:13" ht="15" customHeight="1">
      <c r="B173" s="100" t="s">
        <v>228</v>
      </c>
      <c r="C173" s="116">
        <f t="shared" si="51"/>
        <v>183.75</v>
      </c>
      <c r="D173" s="100">
        <v>0.62</v>
      </c>
      <c r="E173" s="116">
        <f>(H$173*I$173)/100</f>
        <v>1.065</v>
      </c>
      <c r="F173" s="116">
        <f>G$173/0.11983</f>
        <v>245</v>
      </c>
      <c r="G173" s="580">
        <v>29.35835</v>
      </c>
      <c r="H173" s="99">
        <v>71</v>
      </c>
      <c r="I173" s="124">
        <v>1.5</v>
      </c>
      <c r="J173" s="117" t="s">
        <v>229</v>
      </c>
      <c r="K173" s="123"/>
      <c r="L173" s="20"/>
      <c r="M173" s="20"/>
    </row>
    <row r="174" spans="2:13" ht="15" customHeight="1">
      <c r="B174" s="100" t="s">
        <v>230</v>
      </c>
      <c r="C174" s="116">
        <f t="shared" si="51"/>
        <v>216</v>
      </c>
      <c r="D174" s="100">
        <v>0.62</v>
      </c>
      <c r="E174" s="116">
        <f>(H$174*I$174)/100</f>
        <v>2.84</v>
      </c>
      <c r="F174" s="116">
        <f>G$174/0.11983</f>
        <v>288</v>
      </c>
      <c r="G174" s="580">
        <v>34.51104</v>
      </c>
      <c r="H174" s="99">
        <v>71</v>
      </c>
      <c r="I174" s="124">
        <v>4</v>
      </c>
      <c r="J174" s="126" t="s">
        <v>232</v>
      </c>
      <c r="K174" s="123"/>
      <c r="L174" s="20"/>
      <c r="M174" s="20"/>
    </row>
    <row r="175" spans="2:21" ht="15" customHeight="1">
      <c r="B175" s="100" t="s">
        <v>233</v>
      </c>
      <c r="C175" s="116">
        <f t="shared" si="51"/>
        <v>129.75</v>
      </c>
      <c r="D175" s="100">
        <v>0.62</v>
      </c>
      <c r="E175" s="116">
        <f>(H$175*I$175)/100</f>
        <v>0</v>
      </c>
      <c r="F175" s="116">
        <f>G$175/0.11983</f>
        <v>173</v>
      </c>
      <c r="G175" s="580">
        <v>20.73059</v>
      </c>
      <c r="H175" s="99">
        <v>71</v>
      </c>
      <c r="I175" s="124"/>
      <c r="J175" s="20"/>
      <c r="K175" s="123"/>
      <c r="L175" s="20"/>
      <c r="M175" s="20"/>
      <c r="O175" s="74"/>
      <c r="P175" s="74"/>
      <c r="Q175" s="74"/>
      <c r="R175" s="74"/>
      <c r="S175" s="74"/>
      <c r="T175" s="74"/>
      <c r="U175" s="74"/>
    </row>
    <row r="176" spans="2:21" ht="15" customHeight="1">
      <c r="B176" s="100" t="s">
        <v>234</v>
      </c>
      <c r="C176" s="116">
        <f t="shared" si="51"/>
        <v>228</v>
      </c>
      <c r="D176" s="100">
        <v>0.62</v>
      </c>
      <c r="E176" s="116">
        <f>(H$176*I$176)/100</f>
        <v>0</v>
      </c>
      <c r="F176" s="116">
        <f>G$176/0.11983</f>
        <v>304</v>
      </c>
      <c r="G176" s="580">
        <v>36.42832</v>
      </c>
      <c r="H176" s="99">
        <v>71</v>
      </c>
      <c r="I176" s="124"/>
      <c r="J176" s="20"/>
      <c r="K176" s="123"/>
      <c r="L176" s="20"/>
      <c r="M176" s="20"/>
      <c r="O176" s="74"/>
      <c r="P176" s="74"/>
      <c r="Q176" s="74"/>
      <c r="R176" s="74"/>
      <c r="S176" s="74"/>
      <c r="T176" s="74"/>
      <c r="U176" s="74"/>
    </row>
    <row r="177" spans="2:21" ht="15" customHeight="1">
      <c r="B177" s="100" t="s">
        <v>235</v>
      </c>
      <c r="C177" s="116">
        <f t="shared" si="51"/>
        <v>228.75</v>
      </c>
      <c r="D177" s="100">
        <v>0.62</v>
      </c>
      <c r="E177" s="116">
        <f>(H$177*I$177)/100</f>
        <v>2.13</v>
      </c>
      <c r="F177" s="116">
        <f>G$177/0.11983</f>
        <v>305</v>
      </c>
      <c r="G177" s="580">
        <v>36.54815</v>
      </c>
      <c r="H177" s="99">
        <v>71</v>
      </c>
      <c r="I177" s="124">
        <v>3</v>
      </c>
      <c r="J177" s="20"/>
      <c r="K177" s="123">
        <v>15</v>
      </c>
      <c r="L177" s="123">
        <v>20</v>
      </c>
      <c r="M177" s="123">
        <v>23</v>
      </c>
      <c r="O177" s="74"/>
      <c r="P177" s="74"/>
      <c r="Q177" s="74"/>
      <c r="R177" s="74"/>
      <c r="S177" s="74"/>
      <c r="T177" s="74"/>
      <c r="U177" s="74"/>
    </row>
    <row r="178" spans="2:13" ht="15" customHeight="1">
      <c r="B178" s="132"/>
      <c r="C178" s="59"/>
      <c r="D178" s="59"/>
      <c r="E178" s="59"/>
      <c r="F178" s="59"/>
      <c r="G178" s="59"/>
      <c r="H178" s="133"/>
      <c r="I178" s="59"/>
      <c r="J178" s="20"/>
      <c r="K178" s="20"/>
      <c r="L178" s="20"/>
      <c r="M178" s="20"/>
    </row>
    <row r="179" spans="2:13" ht="15" customHeight="1">
      <c r="B179" s="21" t="s">
        <v>236</v>
      </c>
      <c r="C179" s="58" t="s">
        <v>70</v>
      </c>
      <c r="D179" s="157"/>
      <c r="E179" s="59"/>
      <c r="F179" s="59"/>
      <c r="G179" s="585"/>
      <c r="H179" s="133"/>
      <c r="I179" s="57"/>
      <c r="J179" s="68" t="s">
        <v>237</v>
      </c>
      <c r="K179" s="68" t="s">
        <v>238</v>
      </c>
      <c r="L179" s="485"/>
      <c r="M179" s="485"/>
    </row>
    <row r="180" spans="2:14" ht="15" customHeight="1">
      <c r="B180" s="281" t="s">
        <v>239</v>
      </c>
      <c r="C180" s="131">
        <f>F$180</f>
        <v>360</v>
      </c>
      <c r="D180" s="159">
        <v>0.8</v>
      </c>
      <c r="E180" s="116">
        <f>(H$180*I$180)/100</f>
        <v>30</v>
      </c>
      <c r="F180" s="116">
        <f>G$180/0.11983</f>
        <v>360</v>
      </c>
      <c r="G180" s="586">
        <v>43.1388</v>
      </c>
      <c r="H180" s="99">
        <v>100</v>
      </c>
      <c r="I180" s="160">
        <f>(K180+L180)/2</f>
        <v>30</v>
      </c>
      <c r="J180" s="20"/>
      <c r="K180" s="1448">
        <v>25</v>
      </c>
      <c r="L180" s="1448">
        <v>35</v>
      </c>
      <c r="M180" s="485"/>
      <c r="N180" s="1"/>
    </row>
    <row r="181" spans="2:14" ht="15" customHeight="1">
      <c r="B181" s="281" t="s">
        <v>241</v>
      </c>
      <c r="C181" s="131">
        <f>F$181</f>
        <v>360</v>
      </c>
      <c r="D181" s="159">
        <v>0.8</v>
      </c>
      <c r="E181" s="116">
        <f>(H$181*I$181)/100</f>
        <v>65</v>
      </c>
      <c r="F181" s="116">
        <f>G$181/0.11983</f>
        <v>360</v>
      </c>
      <c r="G181" s="586">
        <v>43.1388</v>
      </c>
      <c r="H181" s="99">
        <v>100</v>
      </c>
      <c r="I181" s="160">
        <f>(K181+L181)/2</f>
        <v>65</v>
      </c>
      <c r="J181" s="20"/>
      <c r="K181" s="1201">
        <v>60</v>
      </c>
      <c r="L181" s="1201">
        <v>70</v>
      </c>
      <c r="M181" s="485"/>
      <c r="N181" s="1"/>
    </row>
    <row r="182" spans="2:14" ht="15" customHeight="1">
      <c r="B182" s="281" t="s">
        <v>242</v>
      </c>
      <c r="C182" s="131">
        <f>F$182</f>
        <v>360</v>
      </c>
      <c r="D182" s="159">
        <v>0.8</v>
      </c>
      <c r="E182" s="116">
        <f>(H$182*I$182)/100</f>
        <v>130</v>
      </c>
      <c r="F182" s="116">
        <f>G$181/0.11983</f>
        <v>360</v>
      </c>
      <c r="G182" s="586">
        <v>43.1388</v>
      </c>
      <c r="H182" s="99">
        <v>100</v>
      </c>
      <c r="I182" s="160">
        <f>(K182+L182)/2</f>
        <v>130</v>
      </c>
      <c r="J182" s="20"/>
      <c r="K182" s="1201">
        <v>120</v>
      </c>
      <c r="L182" s="1201">
        <v>140</v>
      </c>
      <c r="M182" s="485"/>
      <c r="N182" s="1"/>
    </row>
    <row r="183" spans="2:14" ht="15" customHeight="1">
      <c r="B183" s="281" t="s">
        <v>245</v>
      </c>
      <c r="C183" s="131">
        <f>F$183</f>
        <v>360</v>
      </c>
      <c r="D183" s="159">
        <v>0.8</v>
      </c>
      <c r="E183" s="116">
        <f>(H$183*I$183)/100</f>
        <v>600</v>
      </c>
      <c r="F183" s="116">
        <f>G$183/0.11983</f>
        <v>360</v>
      </c>
      <c r="G183" s="586">
        <v>43.1388</v>
      </c>
      <c r="H183" s="99">
        <v>100</v>
      </c>
      <c r="I183" s="160">
        <f>(K183+L183)/2</f>
        <v>600</v>
      </c>
      <c r="J183" s="20"/>
      <c r="K183" s="1201">
        <v>550</v>
      </c>
      <c r="L183" s="1201">
        <v>650</v>
      </c>
      <c r="M183" s="485"/>
      <c r="N183" s="1"/>
    </row>
    <row r="184" spans="2:14" ht="15" customHeight="1">
      <c r="B184" s="21"/>
      <c r="C184" s="59"/>
      <c r="D184" s="59"/>
      <c r="E184" s="59"/>
      <c r="F184" s="59"/>
      <c r="G184" s="584"/>
      <c r="H184" s="161"/>
      <c r="I184" s="68"/>
      <c r="J184" s="20"/>
      <c r="K184" s="68"/>
      <c r="L184" s="68"/>
      <c r="M184" s="485"/>
      <c r="N184" s="1"/>
    </row>
    <row r="185" spans="2:21" ht="15" customHeight="1">
      <c r="B185" s="21" t="s">
        <v>246</v>
      </c>
      <c r="C185" s="59"/>
      <c r="D185" s="59"/>
      <c r="E185" s="59"/>
      <c r="F185" s="59"/>
      <c r="G185" s="584"/>
      <c r="H185" s="161"/>
      <c r="I185" s="68"/>
      <c r="J185" s="20"/>
      <c r="K185" s="68" t="s">
        <v>237</v>
      </c>
      <c r="L185" s="68" t="s">
        <v>238</v>
      </c>
      <c r="M185" s="485"/>
      <c r="N185" s="1"/>
      <c r="O185" s="1"/>
      <c r="P185" s="1"/>
      <c r="Q185" s="1"/>
      <c r="R185" s="1"/>
      <c r="S185" s="1"/>
      <c r="T185" s="1"/>
      <c r="U185" s="1"/>
    </row>
    <row r="186" spans="2:34" ht="13.5">
      <c r="B186" s="281" t="s">
        <v>247</v>
      </c>
      <c r="C186" s="131">
        <v>319</v>
      </c>
      <c r="D186" s="158">
        <v>0.64</v>
      </c>
      <c r="E186" s="116">
        <f>(H$186*I$186)/100</f>
        <v>30</v>
      </c>
      <c r="F186" s="116">
        <f>G$186/0.11983</f>
        <v>320</v>
      </c>
      <c r="G186" s="586">
        <v>38.345600000000005</v>
      </c>
      <c r="H186" s="99">
        <v>100</v>
      </c>
      <c r="I186" s="160">
        <f>(K186+L186)/2</f>
        <v>30</v>
      </c>
      <c r="J186" s="20"/>
      <c r="K186" s="1448">
        <v>25</v>
      </c>
      <c r="L186" s="1448">
        <v>35</v>
      </c>
      <c r="M186" s="485"/>
      <c r="N186" s="1"/>
      <c r="O186" s="1"/>
      <c r="P186" s="1"/>
      <c r="Q186" s="1"/>
      <c r="R186" s="1"/>
      <c r="S186" s="1"/>
      <c r="T186" s="1"/>
      <c r="U186" s="1"/>
      <c r="W186" s="1"/>
      <c r="X186" s="1"/>
      <c r="Y186" s="1"/>
      <c r="Z186" s="1"/>
      <c r="AA186" s="1"/>
      <c r="AB186" s="1"/>
      <c r="AC186" s="1"/>
      <c r="AD186" s="1"/>
      <c r="AE186" s="1"/>
      <c r="AF186" s="1"/>
      <c r="AG186" s="1"/>
      <c r="AH186" s="1"/>
    </row>
    <row r="187" spans="2:34" ht="13.5">
      <c r="B187" s="281" t="s">
        <v>248</v>
      </c>
      <c r="C187" s="131">
        <v>319</v>
      </c>
      <c r="D187" s="158">
        <v>0.64</v>
      </c>
      <c r="E187" s="116">
        <f>(H$187*I$187)/100</f>
        <v>65</v>
      </c>
      <c r="F187" s="116">
        <f>G$187/0.11983</f>
        <v>320</v>
      </c>
      <c r="G187" s="586">
        <v>38.345600000000005</v>
      </c>
      <c r="H187" s="99">
        <v>100</v>
      </c>
      <c r="I187" s="160">
        <f>(K187+L187)/2</f>
        <v>65</v>
      </c>
      <c r="J187" s="20"/>
      <c r="K187" s="1201">
        <v>60</v>
      </c>
      <c r="L187" s="1201">
        <v>70</v>
      </c>
      <c r="M187" s="485"/>
      <c r="N187" s="1"/>
      <c r="O187" s="1"/>
      <c r="P187" s="1"/>
      <c r="Q187" s="1"/>
      <c r="R187" s="1"/>
      <c r="S187" s="1"/>
      <c r="T187" s="1"/>
      <c r="U187" s="1"/>
      <c r="W187" s="1"/>
      <c r="X187" s="1"/>
      <c r="Y187" s="1"/>
      <c r="Z187" s="1"/>
      <c r="AA187" s="1"/>
      <c r="AB187" s="1"/>
      <c r="AC187" s="1"/>
      <c r="AD187" s="1"/>
      <c r="AE187" s="1"/>
      <c r="AF187" s="1"/>
      <c r="AG187" s="1"/>
      <c r="AH187" s="1"/>
    </row>
    <row r="188" spans="2:34" ht="13.5">
      <c r="B188" s="281" t="s">
        <v>249</v>
      </c>
      <c r="C188" s="131">
        <v>319</v>
      </c>
      <c r="D188" s="158">
        <v>0.64</v>
      </c>
      <c r="E188" s="116">
        <f>(H$188*I$188)/100</f>
        <v>130</v>
      </c>
      <c r="F188" s="116">
        <f>G$188/0.11983</f>
        <v>320</v>
      </c>
      <c r="G188" s="586">
        <v>38.345600000000005</v>
      </c>
      <c r="H188" s="99">
        <v>100</v>
      </c>
      <c r="I188" s="160">
        <f>(K188+L188)/2</f>
        <v>130</v>
      </c>
      <c r="J188" s="20"/>
      <c r="K188" s="1201">
        <v>120</v>
      </c>
      <c r="L188" s="1201">
        <v>140</v>
      </c>
      <c r="M188" s="485"/>
      <c r="N188" s="1"/>
      <c r="W188" s="1"/>
      <c r="X188" s="1"/>
      <c r="Y188" s="1"/>
      <c r="Z188" s="1"/>
      <c r="AA188" s="1"/>
      <c r="AB188" s="1"/>
      <c r="AC188" s="1"/>
      <c r="AD188" s="1"/>
      <c r="AE188" s="1"/>
      <c r="AF188" s="1"/>
      <c r="AG188" s="1"/>
      <c r="AH188" s="1"/>
    </row>
    <row r="189" spans="2:14" ht="13.5">
      <c r="B189" s="281" t="s">
        <v>250</v>
      </c>
      <c r="C189" s="131">
        <v>319</v>
      </c>
      <c r="D189" s="158">
        <v>0.64</v>
      </c>
      <c r="E189" s="116">
        <f>(H$189*I$189)/100</f>
        <v>600</v>
      </c>
      <c r="F189" s="116">
        <f>G$189/0.11983</f>
        <v>320</v>
      </c>
      <c r="G189" s="586">
        <v>38.345600000000005</v>
      </c>
      <c r="H189" s="99">
        <v>100</v>
      </c>
      <c r="I189" s="160">
        <f>(K189+L189)/2</f>
        <v>600</v>
      </c>
      <c r="J189" s="20"/>
      <c r="K189" s="1201">
        <v>550</v>
      </c>
      <c r="L189" s="1201">
        <v>650</v>
      </c>
      <c r="M189" s="485"/>
      <c r="N189" s="1"/>
    </row>
    <row r="190" spans="2:13" ht="13.5">
      <c r="B190" s="21"/>
      <c r="C190" s="21" t="s">
        <v>349</v>
      </c>
      <c r="D190" s="21"/>
      <c r="E190" s="21"/>
      <c r="F190" s="3"/>
      <c r="G190" s="3"/>
      <c r="H190" s="3"/>
      <c r="I190" s="3"/>
      <c r="J190" s="12"/>
      <c r="K190" s="12"/>
      <c r="L190" s="1"/>
      <c r="M190" s="1"/>
    </row>
    <row r="191" spans="2:34" ht="13.5">
      <c r="B191" s="134" t="s">
        <v>251</v>
      </c>
      <c r="C191" s="21"/>
      <c r="D191" s="21"/>
      <c r="E191" s="21"/>
      <c r="F191" s="3"/>
      <c r="G191" s="3"/>
      <c r="H191" s="3"/>
      <c r="I191" s="3"/>
      <c r="J191" s="1"/>
      <c r="K191" s="1"/>
      <c r="L191" s="1"/>
      <c r="M191" s="1"/>
      <c r="V191" s="120" t="s">
        <v>429</v>
      </c>
      <c r="W191" s="120" t="s">
        <v>429</v>
      </c>
      <c r="X191" s="120" t="s">
        <v>429</v>
      </c>
      <c r="Y191" s="120" t="s">
        <v>429</v>
      </c>
      <c r="Z191" s="120" t="s">
        <v>429</v>
      </c>
      <c r="AA191" s="120" t="s">
        <v>429</v>
      </c>
      <c r="AB191" s="120" t="s">
        <v>429</v>
      </c>
      <c r="AC191" s="120" t="s">
        <v>429</v>
      </c>
      <c r="AD191" s="120" t="s">
        <v>429</v>
      </c>
      <c r="AE191" s="120" t="s">
        <v>429</v>
      </c>
      <c r="AF191" s="120" t="s">
        <v>429</v>
      </c>
      <c r="AG191" s="120" t="s">
        <v>429</v>
      </c>
      <c r="AH191" s="120" t="s">
        <v>429</v>
      </c>
    </row>
    <row r="192" spans="2:13" ht="13.5">
      <c r="B192" s="135" t="s">
        <v>252</v>
      </c>
      <c r="C192" s="21"/>
      <c r="D192" s="21"/>
      <c r="E192" s="21"/>
      <c r="F192" s="3"/>
      <c r="G192" s="3"/>
      <c r="H192" s="3"/>
      <c r="I192" s="3"/>
      <c r="J192" s="1"/>
      <c r="K192" s="1"/>
      <c r="L192" s="1"/>
      <c r="M192" s="1"/>
    </row>
    <row r="193" spans="2:13" ht="13.5">
      <c r="B193" s="21"/>
      <c r="D193" s="21"/>
      <c r="E193" s="21"/>
      <c r="F193" s="3"/>
      <c r="G193" s="3"/>
      <c r="H193" s="3"/>
      <c r="I193" s="3"/>
      <c r="J193" s="1"/>
      <c r="K193" s="1"/>
      <c r="L193" s="1"/>
      <c r="M193" s="1"/>
    </row>
    <row r="194" spans="2:21" ht="13.5">
      <c r="B194" s="2781" t="s">
        <v>626</v>
      </c>
      <c r="C194" s="2782"/>
      <c r="D194" s="2782"/>
      <c r="E194" s="2782"/>
      <c r="F194" s="2782"/>
      <c r="G194" s="2782"/>
      <c r="H194" s="2782"/>
      <c r="I194" s="2782"/>
      <c r="J194" s="2782"/>
      <c r="K194" s="2782"/>
      <c r="L194" s="2782"/>
      <c r="M194" s="2782"/>
      <c r="N194" s="2782"/>
      <c r="O194" s="2782"/>
      <c r="P194" s="455"/>
      <c r="Q194" s="455"/>
      <c r="R194" s="455"/>
      <c r="S194" s="455"/>
      <c r="T194" s="455"/>
      <c r="U194" s="455"/>
    </row>
    <row r="195" spans="2:21" ht="13.5">
      <c r="B195" s="2782"/>
      <c r="C195" s="2782"/>
      <c r="D195" s="2782"/>
      <c r="E195" s="2782"/>
      <c r="F195" s="2782"/>
      <c r="G195" s="2782"/>
      <c r="H195" s="2782"/>
      <c r="I195" s="2782"/>
      <c r="J195" s="2782"/>
      <c r="K195" s="2782"/>
      <c r="L195" s="2782"/>
      <c r="M195" s="2782"/>
      <c r="N195" s="2782"/>
      <c r="O195" s="2782"/>
      <c r="P195" s="455"/>
      <c r="Q195" s="455"/>
      <c r="R195" s="455"/>
      <c r="S195" s="455"/>
      <c r="T195" s="455"/>
      <c r="U195" s="455"/>
    </row>
    <row r="196" spans="2:21" ht="13.5">
      <c r="B196" s="2782"/>
      <c r="C196" s="2782"/>
      <c r="D196" s="2782"/>
      <c r="E196" s="2782"/>
      <c r="F196" s="2782"/>
      <c r="G196" s="2782"/>
      <c r="H196" s="2782"/>
      <c r="I196" s="2782"/>
      <c r="J196" s="2782"/>
      <c r="K196" s="2782"/>
      <c r="L196" s="2782"/>
      <c r="M196" s="2782"/>
      <c r="N196" s="2782"/>
      <c r="O196" s="2782"/>
      <c r="P196" s="455"/>
      <c r="Q196" s="455"/>
      <c r="R196" s="455"/>
      <c r="S196" s="455"/>
      <c r="T196" s="455"/>
      <c r="U196" s="455"/>
    </row>
    <row r="197" spans="2:21" ht="13.5">
      <c r="B197" s="2782"/>
      <c r="C197" s="2782"/>
      <c r="D197" s="2782"/>
      <c r="E197" s="2782"/>
      <c r="F197" s="2782"/>
      <c r="G197" s="2782"/>
      <c r="H197" s="2782"/>
      <c r="I197" s="2782"/>
      <c r="J197" s="2782"/>
      <c r="K197" s="2782"/>
      <c r="L197" s="2782"/>
      <c r="M197" s="2782"/>
      <c r="N197" s="2782"/>
      <c r="O197" s="2782"/>
      <c r="P197" s="455"/>
      <c r="Q197" s="455"/>
      <c r="R197" s="455"/>
      <c r="S197" s="455"/>
      <c r="T197" s="455"/>
      <c r="U197" s="455"/>
    </row>
    <row r="198" spans="2:21" ht="13.5">
      <c r="B198" s="2782"/>
      <c r="C198" s="2782"/>
      <c r="D198" s="2782"/>
      <c r="E198" s="2782"/>
      <c r="F198" s="2782"/>
      <c r="G198" s="2782"/>
      <c r="H198" s="2782"/>
      <c r="I198" s="2782"/>
      <c r="J198" s="2782"/>
      <c r="K198" s="2782"/>
      <c r="L198" s="2782"/>
      <c r="M198" s="2782"/>
      <c r="N198" s="2782"/>
      <c r="O198" s="2782"/>
      <c r="P198" s="455"/>
      <c r="Q198" s="455"/>
      <c r="R198" s="455"/>
      <c r="S198" s="455"/>
      <c r="T198" s="455"/>
      <c r="U198" s="455"/>
    </row>
    <row r="199" spans="2:21" ht="13.5">
      <c r="B199" s="2782"/>
      <c r="C199" s="2782"/>
      <c r="D199" s="2782"/>
      <c r="E199" s="2782"/>
      <c r="F199" s="2782"/>
      <c r="G199" s="2782"/>
      <c r="H199" s="2782"/>
      <c r="I199" s="2782"/>
      <c r="J199" s="2782"/>
      <c r="K199" s="2782"/>
      <c r="L199" s="2782"/>
      <c r="M199" s="2782"/>
      <c r="N199" s="2782"/>
      <c r="O199" s="2782"/>
      <c r="P199" s="455"/>
      <c r="Q199" s="455"/>
      <c r="R199" s="455"/>
      <c r="S199" s="455"/>
      <c r="T199" s="455"/>
      <c r="U199" s="455"/>
    </row>
    <row r="200" spans="2:21" ht="13.5">
      <c r="B200" s="2782"/>
      <c r="C200" s="2782"/>
      <c r="D200" s="2782"/>
      <c r="E200" s="2782"/>
      <c r="F200" s="2782"/>
      <c r="G200" s="2782"/>
      <c r="H200" s="2782"/>
      <c r="I200" s="2782"/>
      <c r="J200" s="2782"/>
      <c r="K200" s="2782"/>
      <c r="L200" s="2782"/>
      <c r="M200" s="2782"/>
      <c r="N200" s="2782"/>
      <c r="O200" s="2782"/>
      <c r="P200" s="455"/>
      <c r="Q200" s="455"/>
      <c r="R200" s="455"/>
      <c r="S200" s="455"/>
      <c r="T200" s="455"/>
      <c r="U200" s="455"/>
    </row>
    <row r="201" spans="2:21" ht="13.5">
      <c r="B201" s="2782"/>
      <c r="C201" s="2782"/>
      <c r="D201" s="2782"/>
      <c r="E201" s="2782"/>
      <c r="F201" s="2782"/>
      <c r="G201" s="2782"/>
      <c r="H201" s="2782"/>
      <c r="I201" s="2782"/>
      <c r="J201" s="2782"/>
      <c r="K201" s="2782"/>
      <c r="L201" s="2782"/>
      <c r="M201" s="2782"/>
      <c r="N201" s="2782"/>
      <c r="O201" s="2782"/>
      <c r="P201" s="455"/>
      <c r="Q201" s="455"/>
      <c r="R201" s="455"/>
      <c r="S201" s="455"/>
      <c r="T201" s="455"/>
      <c r="U201" s="455"/>
    </row>
    <row r="202" spans="2:21" ht="13.5">
      <c r="B202" s="2782"/>
      <c r="C202" s="2782"/>
      <c r="D202" s="2782"/>
      <c r="E202" s="2782"/>
      <c r="F202" s="2782"/>
      <c r="G202" s="2782"/>
      <c r="H202" s="2782"/>
      <c r="I202" s="2782"/>
      <c r="J202" s="2782"/>
      <c r="K202" s="2782"/>
      <c r="L202" s="2782"/>
      <c r="M202" s="2782"/>
      <c r="N202" s="2782"/>
      <c r="O202" s="2782"/>
      <c r="P202" s="455"/>
      <c r="Q202" s="455"/>
      <c r="R202" s="455"/>
      <c r="S202" s="455"/>
      <c r="T202" s="455"/>
      <c r="U202" s="455"/>
    </row>
    <row r="203" spans="2:21" ht="13.5">
      <c r="B203" s="2782"/>
      <c r="C203" s="2782"/>
      <c r="D203" s="2782"/>
      <c r="E203" s="2782"/>
      <c r="F203" s="2782"/>
      <c r="G203" s="2782"/>
      <c r="H203" s="2782"/>
      <c r="I203" s="2782"/>
      <c r="J203" s="2782"/>
      <c r="K203" s="2782"/>
      <c r="L203" s="2782"/>
      <c r="M203" s="2782"/>
      <c r="N203" s="2782"/>
      <c r="O203" s="2782"/>
      <c r="P203" s="455"/>
      <c r="Q203" s="455"/>
      <c r="R203" s="455"/>
      <c r="S203" s="455"/>
      <c r="T203" s="455"/>
      <c r="U203" s="455"/>
    </row>
    <row r="204" spans="2:21" ht="13.5">
      <c r="B204" s="2782"/>
      <c r="C204" s="2782"/>
      <c r="D204" s="2782"/>
      <c r="E204" s="2782"/>
      <c r="F204" s="2782"/>
      <c r="G204" s="2782"/>
      <c r="H204" s="2782"/>
      <c r="I204" s="2782"/>
      <c r="J204" s="2782"/>
      <c r="K204" s="2782"/>
      <c r="L204" s="2782"/>
      <c r="M204" s="2782"/>
      <c r="N204" s="2782"/>
      <c r="O204" s="2782"/>
      <c r="P204" s="455"/>
      <c r="Q204" s="455"/>
      <c r="R204" s="455"/>
      <c r="S204" s="455"/>
      <c r="T204" s="455"/>
      <c r="U204" s="455"/>
    </row>
    <row r="205" spans="2:21" ht="13.5">
      <c r="B205" s="2782"/>
      <c r="C205" s="2782"/>
      <c r="D205" s="2782"/>
      <c r="E205" s="2782"/>
      <c r="F205" s="2782"/>
      <c r="G205" s="2782"/>
      <c r="H205" s="2782"/>
      <c r="I205" s="2782"/>
      <c r="J205" s="2782"/>
      <c r="K205" s="2782"/>
      <c r="L205" s="2782"/>
      <c r="M205" s="2782"/>
      <c r="N205" s="2782"/>
      <c r="O205" s="2782"/>
      <c r="P205" s="455"/>
      <c r="Q205" s="455"/>
      <c r="R205" s="455"/>
      <c r="S205" s="455"/>
      <c r="T205" s="455"/>
      <c r="U205" s="455"/>
    </row>
    <row r="206" spans="2:21" ht="13.5">
      <c r="B206" s="2782"/>
      <c r="C206" s="2782"/>
      <c r="D206" s="2782"/>
      <c r="E206" s="2782"/>
      <c r="F206" s="2782"/>
      <c r="G206" s="2782"/>
      <c r="H206" s="2782"/>
      <c r="I206" s="2782"/>
      <c r="J206" s="2782"/>
      <c r="K206" s="2782"/>
      <c r="L206" s="2782"/>
      <c r="M206" s="2782"/>
      <c r="N206" s="2782"/>
      <c r="O206" s="2782"/>
      <c r="P206" s="455"/>
      <c r="Q206" s="455"/>
      <c r="R206" s="455"/>
      <c r="S206" s="455"/>
      <c r="T206" s="455"/>
      <c r="U206" s="455"/>
    </row>
    <row r="207" spans="2:21" ht="13.5">
      <c r="B207" s="2783"/>
      <c r="C207" s="2783"/>
      <c r="D207" s="2783"/>
      <c r="E207" s="2783"/>
      <c r="F207" s="2783"/>
      <c r="G207" s="2783"/>
      <c r="H207" s="2783"/>
      <c r="I207" s="2783"/>
      <c r="J207" s="2783"/>
      <c r="K207" s="2783"/>
      <c r="L207" s="2783"/>
      <c r="M207" s="2783"/>
      <c r="N207" s="2783"/>
      <c r="O207" s="2783"/>
      <c r="P207" s="456"/>
      <c r="Q207" s="456"/>
      <c r="R207" s="456"/>
      <c r="S207" s="456"/>
      <c r="T207" s="456"/>
      <c r="U207" s="456"/>
    </row>
    <row r="208" spans="2:21" ht="13.5">
      <c r="B208" s="2783"/>
      <c r="C208" s="2783"/>
      <c r="D208" s="2783"/>
      <c r="E208" s="2783"/>
      <c r="F208" s="2783"/>
      <c r="G208" s="2783"/>
      <c r="H208" s="2783"/>
      <c r="I208" s="2783"/>
      <c r="J208" s="2783"/>
      <c r="K208" s="2783"/>
      <c r="L208" s="2783"/>
      <c r="M208" s="2783"/>
      <c r="N208" s="2783"/>
      <c r="O208" s="2783"/>
      <c r="P208" s="456"/>
      <c r="Q208" s="456"/>
      <c r="R208" s="456"/>
      <c r="S208" s="456"/>
      <c r="T208" s="456"/>
      <c r="U208" s="456"/>
    </row>
    <row r="209" spans="2:21" ht="13.5">
      <c r="B209" s="2783"/>
      <c r="C209" s="2783"/>
      <c r="D209" s="2783"/>
      <c r="E209" s="2783"/>
      <c r="F209" s="2783"/>
      <c r="G209" s="2783"/>
      <c r="H209" s="2783"/>
      <c r="I209" s="2783"/>
      <c r="J209" s="2783"/>
      <c r="K209" s="2783"/>
      <c r="L209" s="2783"/>
      <c r="M209" s="2783"/>
      <c r="N209" s="2783"/>
      <c r="O209" s="2783"/>
      <c r="P209" s="456"/>
      <c r="Q209" s="456"/>
      <c r="R209" s="456"/>
      <c r="S209" s="456"/>
      <c r="T209" s="456"/>
      <c r="U209" s="456"/>
    </row>
    <row r="210" spans="2:21" ht="13.5">
      <c r="B210" s="2783"/>
      <c r="C210" s="2783"/>
      <c r="D210" s="2783"/>
      <c r="E210" s="2783"/>
      <c r="F210" s="2783"/>
      <c r="G210" s="2783"/>
      <c r="H210" s="2783"/>
      <c r="I210" s="2783"/>
      <c r="J210" s="2783"/>
      <c r="K210" s="2783"/>
      <c r="L210" s="2783"/>
      <c r="M210" s="2783"/>
      <c r="N210" s="2783"/>
      <c r="O210" s="2783"/>
      <c r="P210" s="456"/>
      <c r="Q210" s="456"/>
      <c r="R210" s="456"/>
      <c r="S210" s="456"/>
      <c r="T210" s="456"/>
      <c r="U210" s="456"/>
    </row>
    <row r="211" spans="2:34" ht="13.5">
      <c r="B211" s="2783"/>
      <c r="C211" s="2783"/>
      <c r="D211" s="2783"/>
      <c r="E211" s="2783"/>
      <c r="F211" s="2783"/>
      <c r="G211" s="2783"/>
      <c r="H211" s="2783"/>
      <c r="I211" s="2783"/>
      <c r="J211" s="2783"/>
      <c r="K211" s="2783"/>
      <c r="L211" s="2783"/>
      <c r="M211" s="2783"/>
      <c r="N211" s="2783"/>
      <c r="O211" s="2783"/>
      <c r="P211" s="456"/>
      <c r="Q211" s="456"/>
      <c r="R211" s="456"/>
      <c r="S211" s="456"/>
      <c r="T211" s="456"/>
      <c r="U211" s="456"/>
      <c r="V211" s="120" t="s">
        <v>429</v>
      </c>
      <c r="W211" s="120" t="s">
        <v>429</v>
      </c>
      <c r="X211" s="120" t="s">
        <v>429</v>
      </c>
      <c r="Y211" s="120" t="s">
        <v>429</v>
      </c>
      <c r="Z211" s="120" t="s">
        <v>429</v>
      </c>
      <c r="AA211" s="120" t="s">
        <v>429</v>
      </c>
      <c r="AB211" s="120" t="s">
        <v>429</v>
      </c>
      <c r="AC211" s="120" t="s">
        <v>429</v>
      </c>
      <c r="AD211" s="120" t="s">
        <v>429</v>
      </c>
      <c r="AE211" s="120" t="s">
        <v>429</v>
      </c>
      <c r="AF211" s="120" t="s">
        <v>429</v>
      </c>
      <c r="AG211" s="120" t="s">
        <v>429</v>
      </c>
      <c r="AH211" s="120" t="s">
        <v>429</v>
      </c>
    </row>
    <row r="212" spans="3:15" ht="13.5">
      <c r="C212" s="138">
        <v>0.04</v>
      </c>
      <c r="D212" s="265">
        <v>0.04</v>
      </c>
      <c r="G212" s="84"/>
      <c r="M212" s="1507"/>
      <c r="N212" s="1508"/>
      <c r="O212" s="84"/>
    </row>
    <row r="213" spans="3:15" ht="13.5">
      <c r="C213" s="139">
        <v>4.15</v>
      </c>
      <c r="D213" s="266">
        <v>4.15</v>
      </c>
      <c r="G213" s="84"/>
      <c r="H213" s="1506" t="s">
        <v>377</v>
      </c>
      <c r="N213" s="84"/>
      <c r="O213" s="84"/>
    </row>
    <row r="214" spans="3:15" ht="13.5">
      <c r="C214" s="144" t="s">
        <v>369</v>
      </c>
      <c r="D214" s="145" t="s">
        <v>371</v>
      </c>
      <c r="G214" s="84"/>
      <c r="H214" s="1509" t="s">
        <v>932</v>
      </c>
      <c r="I214" s="1501">
        <v>1</v>
      </c>
      <c r="J214" s="1571" t="s">
        <v>933</v>
      </c>
      <c r="K214" s="1510"/>
      <c r="L214" s="1501">
        <v>1</v>
      </c>
      <c r="M214" s="1571" t="s">
        <v>934</v>
      </c>
      <c r="N214" s="1501">
        <v>69</v>
      </c>
      <c r="O214" s="1570" t="s">
        <v>413</v>
      </c>
    </row>
    <row r="215" spans="3:14" ht="13.5">
      <c r="C215" s="146" t="s">
        <v>370</v>
      </c>
      <c r="D215" s="146" t="s">
        <v>370</v>
      </c>
      <c r="H215" s="2524" t="s">
        <v>1614</v>
      </c>
      <c r="I215" s="2524"/>
      <c r="J215" s="2524"/>
      <c r="K215" s="2524"/>
      <c r="L215" s="2524"/>
      <c r="M215" s="2524"/>
      <c r="N215" s="2524"/>
    </row>
  </sheetData>
  <sheetProtection password="FA80" sheet="1" objects="1" scenarios="1"/>
  <mergeCells count="98">
    <mergeCell ref="H63:I63"/>
    <mergeCell ref="H64:I64"/>
    <mergeCell ref="H59:I59"/>
    <mergeCell ref="H60:I60"/>
    <mergeCell ref="H61:I61"/>
    <mergeCell ref="H62:I62"/>
    <mergeCell ref="AS1:AU1"/>
    <mergeCell ref="D56:E56"/>
    <mergeCell ref="B6:C6"/>
    <mergeCell ref="G23:J23"/>
    <mergeCell ref="H10:I10"/>
    <mergeCell ref="H11:I11"/>
    <mergeCell ref="H12:I12"/>
    <mergeCell ref="H13:I13"/>
    <mergeCell ref="D10:F10"/>
    <mergeCell ref="AR4:AS4"/>
    <mergeCell ref="B60:E60"/>
    <mergeCell ref="D61:E61"/>
    <mergeCell ref="H215:N215"/>
    <mergeCell ref="N94:R94"/>
    <mergeCell ref="J92:M92"/>
    <mergeCell ref="J94:M94"/>
    <mergeCell ref="J93:M93"/>
    <mergeCell ref="B92:C92"/>
    <mergeCell ref="N93:R93"/>
    <mergeCell ref="M133:O140"/>
    <mergeCell ref="A115:A117"/>
    <mergeCell ref="H58:O58"/>
    <mergeCell ref="N57:O57"/>
    <mergeCell ref="B194:O211"/>
    <mergeCell ref="A121:B121"/>
    <mergeCell ref="A100:A114"/>
    <mergeCell ref="F124:G124"/>
    <mergeCell ref="N95:R95"/>
    <mergeCell ref="B95:G95"/>
    <mergeCell ref="B93:C93"/>
    <mergeCell ref="A37:A51"/>
    <mergeCell ref="A52:A56"/>
    <mergeCell ref="A97:I97"/>
    <mergeCell ref="B68:K68"/>
    <mergeCell ref="H65:I65"/>
    <mergeCell ref="J91:M91"/>
    <mergeCell ref="L36:L37"/>
    <mergeCell ref="J36:J37"/>
    <mergeCell ref="B69:K69"/>
    <mergeCell ref="J95:M95"/>
    <mergeCell ref="N2:R2"/>
    <mergeCell ref="AT4:AU4"/>
    <mergeCell ref="M29:O29"/>
    <mergeCell ref="M35:O35"/>
    <mergeCell ref="N7:O7"/>
    <mergeCell ref="AT2:AU2"/>
    <mergeCell ref="AR3:AS3"/>
    <mergeCell ref="AT3:AU3"/>
    <mergeCell ref="AR2:AS2"/>
    <mergeCell ref="B3:N3"/>
    <mergeCell ref="AM1:AO1"/>
    <mergeCell ref="AN2:AP2"/>
    <mergeCell ref="K59:L60"/>
    <mergeCell ref="N59:O60"/>
    <mergeCell ref="K36:K37"/>
    <mergeCell ref="Q1:R1"/>
    <mergeCell ref="AN3:AP3"/>
    <mergeCell ref="I29:K29"/>
    <mergeCell ref="J35:L35"/>
    <mergeCell ref="F1:I1"/>
    <mergeCell ref="K57:L57"/>
    <mergeCell ref="D7:F7"/>
    <mergeCell ref="N36:N37"/>
    <mergeCell ref="L7:M7"/>
    <mergeCell ref="I28:J28"/>
    <mergeCell ref="D24:I24"/>
    <mergeCell ref="D11:F11"/>
    <mergeCell ref="I7:K7"/>
    <mergeCell ref="H8:I8"/>
    <mergeCell ref="J34:O34"/>
    <mergeCell ref="D13:G13"/>
    <mergeCell ref="D25:H25"/>
    <mergeCell ref="K4:N4"/>
    <mergeCell ref="H6:O6"/>
    <mergeCell ref="B4:J4"/>
    <mergeCell ref="D6:G6"/>
    <mergeCell ref="D8:F8"/>
    <mergeCell ref="D9:F9"/>
    <mergeCell ref="H9:I9"/>
    <mergeCell ref="D57:F57"/>
    <mergeCell ref="H57:I57"/>
    <mergeCell ref="D12:G12"/>
    <mergeCell ref="D27:H27"/>
    <mergeCell ref="D23:F23"/>
    <mergeCell ref="D14:G14"/>
    <mergeCell ref="H34:I36"/>
    <mergeCell ref="C21:I21"/>
    <mergeCell ref="H14:I14"/>
    <mergeCell ref="M36:M37"/>
    <mergeCell ref="N91:R91"/>
    <mergeCell ref="N92:R92"/>
    <mergeCell ref="O36:O37"/>
  </mergeCells>
  <conditionalFormatting sqref="C61">
    <cfRule type="cellIs" priority="1" dxfId="3" operator="notBetween" stopIfTrue="1">
      <formula>75.5</formula>
      <formula>76.5</formula>
    </cfRule>
  </conditionalFormatting>
  <hyperlinks>
    <hyperlink ref="N95" r:id="rId1" display="www.yobrew.co.uk"/>
    <hyperlink ref="C21" location="'Beer Calc. 1.8 (2)'!A165" display="To amend/modify any data, please refer to the &quot;Technical Section&quot;."/>
    <hyperlink ref="N92" r:id="rId2" display="www.petespintpot.co.uk"/>
    <hyperlink ref="N94" r:id="rId3" display="mailto:david.barrow@live.co.uk"/>
    <hyperlink ref="K4" location="'Extract Calc. (1.9)'!_Toc269412869" display="See the &quot;Extract Calc.&quot;"/>
    <hyperlink ref="N93" r:id="rId4" display="www.colchesterhomebrew.co.uk"/>
    <hyperlink ref="C21:I21" location="'Beer Calc'!A121" display="To amend/modify any data, please refer to the &quot;Technical Section&quot;."/>
    <hyperlink ref="B60:D60" location="Primer!D1" display="For more info. about &quot;cabonation&quot; see &quot;Beer Primer&quot; page."/>
    <hyperlink ref="AS1" r:id="rId5" display="www.petespintpot.co.uk"/>
    <hyperlink ref="K4:N4" location="'Extract Calc'!B28" display="(For details, see the &quot;Extract Calc.&quot;)"/>
    <hyperlink ref="N2" r:id="rId6" display="www.petespintpot.co.uk"/>
    <hyperlink ref="H57" location="'Beer Calc'!H216" display="Isomerised hop extract  (ml)"/>
    <hyperlink ref="H57:I57" location="'Beer Calc'!I214" display="Isomerised hop extract  (ml)"/>
    <hyperlink ref="N87" r:id="rId7" display="www.yobrew.co.uk"/>
    <hyperlink ref="N84" r:id="rId8" display="www.petespintpot.co.uk"/>
    <hyperlink ref="N86" r:id="rId9" display="mailto:david.barrow@live.co.uk"/>
    <hyperlink ref="K9" location="'Extract Calc. (1.9)'!_Toc269412869" display="See the &quot;Extract Calc.&quot;"/>
    <hyperlink ref="N85" r:id="rId10" display="www.colchesterhomebrew.co.uk"/>
    <hyperlink ref="B59:D59" location="Primer!D1" display="For more info. about &quot;cabonation&quot; see &quot;Beer Primer&quot; page."/>
    <hyperlink ref="AS6" r:id="rId11" display="www.petespintpot.co.uk"/>
    <hyperlink ref="K9:N9" location="'Extract Calc'!B22" display="(For details, see the &quot;Extract Calc.&quot;)"/>
    <hyperlink ref="N7" r:id="rId12" display="www.petespintpot.co.uk"/>
    <hyperlink ref="H56:I56" location="'Beer Calc'!I201" display="Isomerised hop extract  (ml)"/>
    <hyperlink ref="D61:E61" location="'Beer Calc'!AP4" display="(76% nominally)"/>
  </hyperlinks>
  <printOptions horizontalCentered="1"/>
  <pageMargins left="0.4724409448818898" right="0.4724409448818898" top="0.35433070866141736" bottom="0.3937007874015748" header="0.11811023622047245" footer="0.15748031496062992"/>
  <pageSetup fitToHeight="1" fitToWidth="1" horizontalDpi="600" verticalDpi="600" orientation="portrait" paperSize="9" scale="54" r:id="rId14"/>
  <headerFooter alignWithMargins="0">
    <oddFooter>&amp;L&amp;8&amp;Z&amp;F&amp;C&amp;8P &amp;P of &amp;N&amp;R&amp;8&amp;T   &amp;D</oddFooter>
  </headerFooter>
  <rowBreaks count="1" manualBreakCount="1">
    <brk id="120" min="1" max="13" man="1"/>
  </rowBreaks>
  <drawing r:id="rId13"/>
</worksheet>
</file>

<file path=xl/worksheets/sheet5.xml><?xml version="1.0" encoding="utf-8"?>
<worksheet xmlns="http://schemas.openxmlformats.org/spreadsheetml/2006/main" xmlns:r="http://schemas.openxmlformats.org/officeDocument/2006/relationships">
  <sheetPr>
    <tabColor indexed="29"/>
    <pageSetUpPr fitToPage="1"/>
  </sheetPr>
  <dimension ref="A1:N120"/>
  <sheetViews>
    <sheetView zoomScale="75" zoomScaleNormal="75" zoomScaleSheetLayoutView="100" zoomScalePageLayoutView="0" workbookViewId="0" topLeftCell="A1">
      <selection activeCell="P24" sqref="P24"/>
    </sheetView>
  </sheetViews>
  <sheetFormatPr defaultColWidth="9.140625" defaultRowHeight="15"/>
  <cols>
    <col min="1" max="1" width="4.140625" style="0" customWidth="1"/>
    <col min="2" max="8" width="11.00390625" style="0" customWidth="1"/>
    <col min="9" max="9" width="2.8515625" style="0" customWidth="1"/>
    <col min="10" max="10" width="22.28125" style="1063" customWidth="1"/>
    <col min="11" max="13" width="7.8515625" style="1063" customWidth="1"/>
    <col min="14" max="14" width="2.8515625" style="0" customWidth="1"/>
  </cols>
  <sheetData>
    <row r="1" spans="1:14" ht="17.25">
      <c r="A1" s="2817" t="s">
        <v>1664</v>
      </c>
      <c r="B1" s="2817"/>
      <c r="C1" s="2817"/>
      <c r="D1" s="2817"/>
      <c r="E1" s="2817"/>
      <c r="F1" s="2817"/>
      <c r="G1" s="2817"/>
      <c r="H1" s="2817"/>
      <c r="I1" s="2817"/>
      <c r="J1" s="2817"/>
      <c r="K1" s="2817"/>
      <c r="L1" s="2817"/>
      <c r="M1" s="2817"/>
      <c r="N1" s="1031"/>
    </row>
    <row r="2" spans="1:14" ht="15">
      <c r="A2" s="2826" t="s">
        <v>513</v>
      </c>
      <c r="B2" s="2826"/>
      <c r="C2" s="1049"/>
      <c r="D2" s="1050"/>
      <c r="E2" s="1051"/>
      <c r="F2" s="1051"/>
      <c r="G2" s="1052"/>
      <c r="H2" s="1051"/>
      <c r="I2" s="1051"/>
      <c r="J2" s="1051"/>
      <c r="K2" s="2827" t="s">
        <v>731</v>
      </c>
      <c r="L2" s="2827"/>
      <c r="M2" s="2827"/>
      <c r="N2" s="370"/>
    </row>
    <row r="3" spans="1:14" ht="15">
      <c r="A3" s="2824" t="s">
        <v>1665</v>
      </c>
      <c r="B3" s="2398"/>
      <c r="C3" s="2398"/>
      <c r="D3" s="2398"/>
      <c r="E3" s="2398"/>
      <c r="F3" s="2398"/>
      <c r="G3" s="1064"/>
      <c r="H3" s="1064"/>
      <c r="I3" s="1064"/>
      <c r="J3" s="1064"/>
      <c r="K3" s="2828" t="s">
        <v>319</v>
      </c>
      <c r="L3" s="2828"/>
      <c r="M3" s="2828"/>
      <c r="N3" s="370"/>
    </row>
    <row r="4" spans="1:14" ht="15.75" customHeight="1">
      <c r="A4" s="1065"/>
      <c r="B4" s="2825" t="s">
        <v>13</v>
      </c>
      <c r="C4" s="2398"/>
      <c r="D4" s="2398"/>
      <c r="E4" s="2398"/>
      <c r="F4" s="2398"/>
      <c r="G4" s="1066"/>
      <c r="H4" s="1064"/>
      <c r="I4" s="1064"/>
      <c r="J4" s="1067" t="s">
        <v>850</v>
      </c>
      <c r="K4" s="2829" t="s">
        <v>14</v>
      </c>
      <c r="L4" s="2830"/>
      <c r="M4" s="1068" t="s">
        <v>351</v>
      </c>
      <c r="N4" s="1031"/>
    </row>
    <row r="5" spans="1:14" ht="15">
      <c r="A5" s="1065"/>
      <c r="B5" s="2822" t="s">
        <v>1666</v>
      </c>
      <c r="C5" s="2823"/>
      <c r="D5" s="2823"/>
      <c r="E5" s="2823"/>
      <c r="F5" s="2823"/>
      <c r="G5" s="2823"/>
      <c r="H5" s="2823"/>
      <c r="I5" s="911"/>
      <c r="J5" s="1069"/>
      <c r="K5" s="1070" t="s">
        <v>352</v>
      </c>
      <c r="L5" s="1071" t="s">
        <v>353</v>
      </c>
      <c r="M5" s="1070" t="s">
        <v>354</v>
      </c>
      <c r="N5" s="1031"/>
    </row>
    <row r="6" spans="1:14" ht="13.5">
      <c r="A6" s="1031"/>
      <c r="B6" s="460"/>
      <c r="C6" s="460"/>
      <c r="D6" s="460"/>
      <c r="E6" s="460"/>
      <c r="F6" s="460"/>
      <c r="G6" s="460"/>
      <c r="H6" s="460"/>
      <c r="I6" s="1031"/>
      <c r="J6" s="1072" t="s">
        <v>1667</v>
      </c>
      <c r="K6" s="1073">
        <v>1.2</v>
      </c>
      <c r="L6" s="1073">
        <v>2.8</v>
      </c>
      <c r="M6" s="1074">
        <f aca="true" t="shared" si="0" ref="M6:M59">(K6+L6)/2</f>
        <v>2</v>
      </c>
      <c r="N6" s="1031"/>
    </row>
    <row r="7" spans="1:14" ht="15">
      <c r="A7" s="1075"/>
      <c r="B7" s="2818" t="s">
        <v>1668</v>
      </c>
      <c r="C7" s="2819"/>
      <c r="D7" s="2819"/>
      <c r="E7" s="2819"/>
      <c r="F7" s="2819"/>
      <c r="G7" s="2819"/>
      <c r="H7" s="2819"/>
      <c r="I7" s="1203"/>
      <c r="J7" s="1072" t="s">
        <v>1669</v>
      </c>
      <c r="K7" s="1073">
        <v>1.5</v>
      </c>
      <c r="L7" s="1073">
        <v>2.5</v>
      </c>
      <c r="M7" s="1074">
        <f t="shared" si="0"/>
        <v>2</v>
      </c>
      <c r="N7" s="1031"/>
    </row>
    <row r="8" spans="1:14" ht="15">
      <c r="A8" s="1075"/>
      <c r="B8" s="1076"/>
      <c r="C8" s="1076"/>
      <c r="D8" s="1076"/>
      <c r="E8" s="1076"/>
      <c r="F8" s="1076"/>
      <c r="G8" s="1076"/>
      <c r="H8" s="1077"/>
      <c r="I8" s="1077"/>
      <c r="J8" s="1072" t="s">
        <v>1670</v>
      </c>
      <c r="K8" s="1073">
        <v>2.5</v>
      </c>
      <c r="L8" s="1073">
        <v>2.7</v>
      </c>
      <c r="M8" s="1074">
        <f t="shared" si="0"/>
        <v>2.6</v>
      </c>
      <c r="N8" s="1031"/>
    </row>
    <row r="9" spans="1:14" ht="15">
      <c r="A9" s="2820" t="s">
        <v>1671</v>
      </c>
      <c r="B9" s="2821"/>
      <c r="C9" s="2821"/>
      <c r="D9" s="2821"/>
      <c r="E9" s="1076"/>
      <c r="F9" s="1076"/>
      <c r="G9" s="1076"/>
      <c r="H9" s="1077"/>
      <c r="I9" s="1077"/>
      <c r="J9" s="1072" t="s">
        <v>1672</v>
      </c>
      <c r="K9" s="1073">
        <v>2.2</v>
      </c>
      <c r="L9" s="1073">
        <v>2.8</v>
      </c>
      <c r="M9" s="1074">
        <f t="shared" si="0"/>
        <v>2.5</v>
      </c>
      <c r="N9" s="1031"/>
    </row>
    <row r="10" spans="1:14" ht="13.5">
      <c r="A10" s="1078"/>
      <c r="B10" s="1079">
        <v>22.7</v>
      </c>
      <c r="C10" s="2811" t="s">
        <v>1673</v>
      </c>
      <c r="D10" s="2812"/>
      <c r="E10" s="2812"/>
      <c r="F10" s="1080"/>
      <c r="G10" s="1081"/>
      <c r="H10" s="1082"/>
      <c r="I10" s="1082"/>
      <c r="J10" s="1083" t="s">
        <v>1674</v>
      </c>
      <c r="K10" s="1073">
        <v>2.6</v>
      </c>
      <c r="L10" s="1073">
        <v>2.7</v>
      </c>
      <c r="M10" s="1074">
        <f t="shared" si="0"/>
        <v>2.6500000000000004</v>
      </c>
      <c r="N10" s="1031"/>
    </row>
    <row r="11" spans="1:14" ht="13.5">
      <c r="A11" s="1078"/>
      <c r="B11" s="1084" t="s">
        <v>1675</v>
      </c>
      <c r="C11" s="1085" t="s">
        <v>1676</v>
      </c>
      <c r="D11" s="2813" t="s">
        <v>702</v>
      </c>
      <c r="E11" s="2814"/>
      <c r="F11" s="2815" t="s">
        <v>1677</v>
      </c>
      <c r="G11" s="2816"/>
      <c r="H11" s="1080"/>
      <c r="I11" s="1080"/>
      <c r="J11" s="1072" t="s">
        <v>1678</v>
      </c>
      <c r="K11" s="1073">
        <v>2.3</v>
      </c>
      <c r="L11" s="1073">
        <v>2.6</v>
      </c>
      <c r="M11" s="1074">
        <f t="shared" si="0"/>
        <v>2.45</v>
      </c>
      <c r="N11" s="1031"/>
    </row>
    <row r="12" spans="1:14" ht="15" customHeight="1">
      <c r="A12" s="1078"/>
      <c r="B12" s="1086" t="s">
        <v>1679</v>
      </c>
      <c r="C12" s="1087" t="s">
        <v>358</v>
      </c>
      <c r="D12" s="2842" t="s">
        <v>1680</v>
      </c>
      <c r="E12" s="2843"/>
      <c r="F12" s="2844" t="s">
        <v>1681</v>
      </c>
      <c r="G12" s="2845"/>
      <c r="H12" s="1080"/>
      <c r="I12" s="1080"/>
      <c r="J12" s="1083" t="s">
        <v>1682</v>
      </c>
      <c r="K12" s="1073">
        <v>2.2</v>
      </c>
      <c r="L12" s="1073">
        <v>2.6</v>
      </c>
      <c r="M12" s="1074">
        <f t="shared" si="0"/>
        <v>2.4000000000000004</v>
      </c>
      <c r="N12" s="1031"/>
    </row>
    <row r="13" spans="1:14" ht="13.5">
      <c r="A13" s="1078"/>
      <c r="B13" s="1088" t="s">
        <v>354</v>
      </c>
      <c r="C13" s="1089" t="s">
        <v>359</v>
      </c>
      <c r="D13" s="1090" t="s">
        <v>1683</v>
      </c>
      <c r="E13" s="1090" t="str">
        <f>$B$10&amp;" litre"</f>
        <v>22.7 litre</v>
      </c>
      <c r="F13" s="1091" t="s">
        <v>1683</v>
      </c>
      <c r="G13" s="1091" t="str">
        <f>$B$10&amp;" litre"</f>
        <v>22.7 litre</v>
      </c>
      <c r="H13" s="1080"/>
      <c r="I13" s="1080"/>
      <c r="J13" s="1072" t="s">
        <v>1684</v>
      </c>
      <c r="K13" s="1073">
        <v>1.3</v>
      </c>
      <c r="L13" s="1073">
        <v>2.3</v>
      </c>
      <c r="M13" s="1074">
        <f t="shared" si="0"/>
        <v>1.7999999999999998</v>
      </c>
      <c r="N13" s="1031"/>
    </row>
    <row r="14" spans="1:14" ht="13.5">
      <c r="A14" s="1078"/>
      <c r="B14" s="1092">
        <v>1.71</v>
      </c>
      <c r="C14" s="1093">
        <v>20</v>
      </c>
      <c r="D14" s="1094">
        <f>(B14-VLOOKUP(C14,B85:C115,2))/K65</f>
        <v>3.175714285714286</v>
      </c>
      <c r="E14" s="2243">
        <f>$B$10*D14</f>
        <v>72.08871428571429</v>
      </c>
      <c r="F14" s="1095">
        <f>($B$14-(VLOOKUP($C$14,$B85:$C115,2)))/K73</f>
        <v>3.342857142857143</v>
      </c>
      <c r="G14" s="2245">
        <f>$B$10*F14</f>
        <v>75.88285714285715</v>
      </c>
      <c r="H14" s="1080"/>
      <c r="I14" s="1080"/>
      <c r="J14" s="1083" t="s">
        <v>1685</v>
      </c>
      <c r="K14" s="1073">
        <v>1.9</v>
      </c>
      <c r="L14" s="1073">
        <v>2.5</v>
      </c>
      <c r="M14" s="1074">
        <f t="shared" si="0"/>
        <v>2.2</v>
      </c>
      <c r="N14" s="1031"/>
    </row>
    <row r="15" spans="1:14" ht="13.5">
      <c r="A15" s="1078"/>
      <c r="B15" s="1096"/>
      <c r="C15" s="1096"/>
      <c r="D15" s="1096">
        <f>D14/$G$37</f>
        <v>1.0081911281882383</v>
      </c>
      <c r="E15" s="1097" t="s">
        <v>1686</v>
      </c>
      <c r="F15" s="1098">
        <f>F14/$G$37</f>
        <v>1.0612538191455139</v>
      </c>
      <c r="G15" s="2250">
        <f>G14/$G$37</f>
        <v>24.090461694603164</v>
      </c>
      <c r="H15" s="1099" t="s">
        <v>1686</v>
      </c>
      <c r="I15" s="1099"/>
      <c r="J15" s="1072" t="s">
        <v>1687</v>
      </c>
      <c r="K15" s="1073">
        <v>1.9</v>
      </c>
      <c r="L15" s="1073">
        <v>2.4</v>
      </c>
      <c r="M15" s="1074">
        <f t="shared" si="0"/>
        <v>2.15</v>
      </c>
      <c r="N15" s="1031"/>
    </row>
    <row r="16" spans="1:14" ht="13.5">
      <c r="A16" s="1078"/>
      <c r="B16" s="1100"/>
      <c r="C16" s="1100"/>
      <c r="D16" s="1101"/>
      <c r="E16" s="1102"/>
      <c r="F16" s="1081"/>
      <c r="G16" s="1103"/>
      <c r="H16" s="1080"/>
      <c r="I16" s="1080"/>
      <c r="J16" s="1083" t="s">
        <v>1688</v>
      </c>
      <c r="K16" s="1073">
        <v>2.6</v>
      </c>
      <c r="L16" s="1073">
        <v>4.5</v>
      </c>
      <c r="M16" s="1074">
        <f t="shared" si="0"/>
        <v>3.55</v>
      </c>
      <c r="N16" s="1031"/>
    </row>
    <row r="17" spans="1:14" ht="13.5">
      <c r="A17" s="2820" t="s">
        <v>1689</v>
      </c>
      <c r="B17" s="2821"/>
      <c r="C17" s="2821"/>
      <c r="D17" s="2821"/>
      <c r="E17" s="2821"/>
      <c r="F17" s="1081"/>
      <c r="G17" s="1103"/>
      <c r="H17" s="1080"/>
      <c r="I17" s="1080"/>
      <c r="J17" s="1072" t="s">
        <v>1690</v>
      </c>
      <c r="K17" s="1073">
        <v>3</v>
      </c>
      <c r="L17" s="1073">
        <v>4.5</v>
      </c>
      <c r="M17" s="1074">
        <f t="shared" si="0"/>
        <v>3.75</v>
      </c>
      <c r="N17" s="1031"/>
    </row>
    <row r="18" spans="1:14" ht="13.5">
      <c r="A18" s="1078"/>
      <c r="B18" s="1104">
        <v>5</v>
      </c>
      <c r="C18" s="2811" t="s">
        <v>1697</v>
      </c>
      <c r="D18" s="2812"/>
      <c r="E18" s="2812"/>
      <c r="F18" s="1080"/>
      <c r="G18" s="1080"/>
      <c r="H18" s="1080"/>
      <c r="I18" s="1080"/>
      <c r="J18" s="1083" t="s">
        <v>1698</v>
      </c>
      <c r="K18" s="1073">
        <v>1.9</v>
      </c>
      <c r="L18" s="1073">
        <v>2.4</v>
      </c>
      <c r="M18" s="1074">
        <f t="shared" si="0"/>
        <v>2.15</v>
      </c>
      <c r="N18" s="1031"/>
    </row>
    <row r="19" spans="1:14" ht="13.5">
      <c r="A19" s="1078"/>
      <c r="B19" s="1084" t="s">
        <v>1675</v>
      </c>
      <c r="C19" s="1085" t="s">
        <v>1699</v>
      </c>
      <c r="D19" s="1105" t="s">
        <v>702</v>
      </c>
      <c r="E19" s="1105"/>
      <c r="F19" s="2815" t="s">
        <v>1677</v>
      </c>
      <c r="G19" s="2816"/>
      <c r="H19" s="1080"/>
      <c r="I19" s="1080"/>
      <c r="J19" s="1072" t="s">
        <v>1700</v>
      </c>
      <c r="K19" s="1073">
        <v>2.1</v>
      </c>
      <c r="L19" s="1073">
        <v>2.6</v>
      </c>
      <c r="M19" s="1074">
        <f t="shared" si="0"/>
        <v>2.35</v>
      </c>
      <c r="N19" s="1031"/>
    </row>
    <row r="20" spans="1:14" ht="15" customHeight="1">
      <c r="A20" s="1078"/>
      <c r="B20" s="1086" t="s">
        <v>1679</v>
      </c>
      <c r="C20" s="1087" t="s">
        <v>358</v>
      </c>
      <c r="D20" s="1106" t="s">
        <v>1701</v>
      </c>
      <c r="E20" s="1106"/>
      <c r="F20" s="2844" t="s">
        <v>1702</v>
      </c>
      <c r="G20" s="2845"/>
      <c r="H20" s="1080"/>
      <c r="I20" s="1080"/>
      <c r="J20" s="1083" t="s">
        <v>1703</v>
      </c>
      <c r="K20" s="1073">
        <v>3.5</v>
      </c>
      <c r="L20" s="1073">
        <v>3.5</v>
      </c>
      <c r="M20" s="1074">
        <f t="shared" si="0"/>
        <v>3.5</v>
      </c>
      <c r="N20" s="1031"/>
    </row>
    <row r="21" spans="1:14" ht="13.5">
      <c r="A21" s="1078"/>
      <c r="B21" s="1088" t="s">
        <v>354</v>
      </c>
      <c r="C21" s="1089" t="s">
        <v>572</v>
      </c>
      <c r="D21" s="1090" t="s">
        <v>1704</v>
      </c>
      <c r="E21" s="1090" t="str">
        <f>$B$18&amp;" UK gall"</f>
        <v>5 UK gall</v>
      </c>
      <c r="F21" s="1091" t="s">
        <v>1704</v>
      </c>
      <c r="G21" s="1091" t="str">
        <f>$B$18&amp;" UK gall"</f>
        <v>5 UK gall</v>
      </c>
      <c r="H21" s="1080"/>
      <c r="I21" s="1080"/>
      <c r="J21" s="1072" t="s">
        <v>1705</v>
      </c>
      <c r="K21" s="1073">
        <v>1.9</v>
      </c>
      <c r="L21" s="1073">
        <v>2.5</v>
      </c>
      <c r="M21" s="1074">
        <f t="shared" si="0"/>
        <v>2.2</v>
      </c>
      <c r="N21" s="1031"/>
    </row>
    <row r="22" spans="1:14" ht="13.5">
      <c r="A22" s="1078"/>
      <c r="B22" s="1092">
        <v>2.4</v>
      </c>
      <c r="C22" s="1093">
        <v>68</v>
      </c>
      <c r="D22" s="1094">
        <f>0.56825*(B22-VLOOKUP(C22,E85:F112,2))/(K65*28.35)</f>
        <v>0.11629152494331069</v>
      </c>
      <c r="E22" s="2244">
        <f>8*$B$18*D22</f>
        <v>4.651660997732428</v>
      </c>
      <c r="F22" s="1095">
        <f>0.56825*($B22-(VLOOKUP($C$22,E85:F112,2)))/(K73*28.35)</f>
        <v>0.12241213151927438</v>
      </c>
      <c r="G22" s="2246">
        <f>8*$B$18*F22</f>
        <v>4.896485260770975</v>
      </c>
      <c r="H22" s="1080"/>
      <c r="I22" s="1080"/>
      <c r="J22" s="1083" t="s">
        <v>1706</v>
      </c>
      <c r="K22" s="1073">
        <v>2.2</v>
      </c>
      <c r="L22" s="1073">
        <v>2.7</v>
      </c>
      <c r="M22" s="1074">
        <f t="shared" si="0"/>
        <v>2.45</v>
      </c>
      <c r="N22" s="1031"/>
    </row>
    <row r="23" spans="1:14" ht="13.5">
      <c r="A23" s="1078"/>
      <c r="B23" s="1100"/>
      <c r="C23" s="1100"/>
      <c r="D23" s="2247">
        <f>28.35*D22</f>
        <v>3.296864732142858</v>
      </c>
      <c r="E23" s="2248">
        <f>28.35*E22</f>
        <v>131.87458928571434</v>
      </c>
      <c r="F23" s="2247">
        <f>28.35*F22</f>
        <v>3.470383928571429</v>
      </c>
      <c r="G23" s="2248">
        <f>28.35*G22</f>
        <v>138.81535714285715</v>
      </c>
      <c r="H23" s="1099" t="s">
        <v>1707</v>
      </c>
      <c r="I23" s="1099"/>
      <c r="J23" s="1072" t="s">
        <v>1708</v>
      </c>
      <c r="K23" s="1073">
        <v>2.3</v>
      </c>
      <c r="L23" s="1073">
        <v>2.5</v>
      </c>
      <c r="M23" s="1074">
        <f t="shared" si="0"/>
        <v>2.4</v>
      </c>
      <c r="N23" s="1031"/>
    </row>
    <row r="24" spans="1:14" ht="13.5">
      <c r="A24" s="1078"/>
      <c r="B24" s="1107"/>
      <c r="C24" s="1107"/>
      <c r="D24" s="1098">
        <f>D23/$G$37</f>
        <v>1.0466526503140734</v>
      </c>
      <c r="E24" s="1098">
        <f>E23/$G$37</f>
        <v>41.86610601256294</v>
      </c>
      <c r="F24" s="1098">
        <f>F23/$G$37</f>
        <v>1.1017396319095507</v>
      </c>
      <c r="G24" s="1098">
        <f>G23/$G$37</f>
        <v>44.06958527638203</v>
      </c>
      <c r="H24" s="1109" t="s">
        <v>1709</v>
      </c>
      <c r="I24" s="1109"/>
      <c r="J24" s="1083" t="s">
        <v>1710</v>
      </c>
      <c r="K24" s="1073">
        <v>2.4</v>
      </c>
      <c r="L24" s="1073">
        <v>2.8</v>
      </c>
      <c r="M24" s="1074">
        <f t="shared" si="0"/>
        <v>2.5999999999999996</v>
      </c>
      <c r="N24" s="1031"/>
    </row>
    <row r="25" spans="1:14" ht="13.5">
      <c r="A25" s="2820" t="s">
        <v>1711</v>
      </c>
      <c r="B25" s="2821"/>
      <c r="C25" s="2821"/>
      <c r="D25" s="2821"/>
      <c r="E25" s="2821"/>
      <c r="F25" s="1110"/>
      <c r="G25" s="1111"/>
      <c r="H25" s="1080"/>
      <c r="I25" s="1080"/>
      <c r="J25" s="1072" t="s">
        <v>1712</v>
      </c>
      <c r="K25" s="1073">
        <v>2.6</v>
      </c>
      <c r="L25" s="1073">
        <v>2.7</v>
      </c>
      <c r="M25" s="1074">
        <f t="shared" si="0"/>
        <v>2.6500000000000004</v>
      </c>
      <c r="N25" s="1031"/>
    </row>
    <row r="26" spans="1:14" ht="13.5">
      <c r="A26" s="1078"/>
      <c r="B26" s="1104">
        <v>6</v>
      </c>
      <c r="C26" s="2811" t="s">
        <v>1713</v>
      </c>
      <c r="D26" s="2812"/>
      <c r="E26" s="2812"/>
      <c r="F26" s="1112"/>
      <c r="G26" s="1113"/>
      <c r="H26" s="1080"/>
      <c r="I26" s="1080"/>
      <c r="J26" s="1083" t="s">
        <v>1714</v>
      </c>
      <c r="K26" s="1073">
        <v>2.3</v>
      </c>
      <c r="L26" s="1073">
        <v>2.6</v>
      </c>
      <c r="M26" s="1074">
        <f t="shared" si="0"/>
        <v>2.45</v>
      </c>
      <c r="N26" s="1031"/>
    </row>
    <row r="27" spans="1:14" ht="13.5">
      <c r="A27" s="1078"/>
      <c r="B27" s="1084" t="s">
        <v>1675</v>
      </c>
      <c r="C27" s="1085" t="s">
        <v>1699</v>
      </c>
      <c r="D27" s="2853" t="s">
        <v>702</v>
      </c>
      <c r="E27" s="2816"/>
      <c r="F27" s="2854" t="s">
        <v>1677</v>
      </c>
      <c r="G27" s="2816"/>
      <c r="H27" s="1080"/>
      <c r="I27" s="1080"/>
      <c r="J27" s="1072" t="s">
        <v>1715</v>
      </c>
      <c r="K27" s="1073">
        <v>2.6</v>
      </c>
      <c r="L27" s="1073">
        <v>2.6</v>
      </c>
      <c r="M27" s="1074">
        <f t="shared" si="0"/>
        <v>2.6</v>
      </c>
      <c r="N27" s="1031"/>
    </row>
    <row r="28" spans="1:14" ht="15" customHeight="1">
      <c r="A28" s="1078"/>
      <c r="B28" s="1086" t="s">
        <v>1679</v>
      </c>
      <c r="C28" s="1087" t="s">
        <v>358</v>
      </c>
      <c r="D28" s="1114" t="s">
        <v>1701</v>
      </c>
      <c r="E28" s="1106"/>
      <c r="F28" s="2850" t="s">
        <v>1702</v>
      </c>
      <c r="G28" s="2845"/>
      <c r="H28" s="1080"/>
      <c r="I28" s="1080"/>
      <c r="J28" s="1083" t="s">
        <v>1716</v>
      </c>
      <c r="K28" s="1073">
        <v>3.6</v>
      </c>
      <c r="L28" s="1073">
        <v>4.5</v>
      </c>
      <c r="M28" s="1074">
        <f t="shared" si="0"/>
        <v>4.05</v>
      </c>
      <c r="N28" s="1031"/>
    </row>
    <row r="29" spans="1:14" ht="13.5">
      <c r="A29" s="1078"/>
      <c r="B29" s="1088" t="s">
        <v>354</v>
      </c>
      <c r="C29" s="1089" t="s">
        <v>572</v>
      </c>
      <c r="D29" s="1115" t="s">
        <v>1717</v>
      </c>
      <c r="E29" s="1090" t="str">
        <f>$B$26&amp;" US gall"</f>
        <v>6 US gall</v>
      </c>
      <c r="F29" s="1116" t="s">
        <v>1717</v>
      </c>
      <c r="G29" s="1091" t="str">
        <f>$B$26&amp;" US gall"</f>
        <v>6 US gall</v>
      </c>
      <c r="H29" s="1080"/>
      <c r="I29" s="1080"/>
      <c r="J29" s="1072" t="s">
        <v>1718</v>
      </c>
      <c r="K29" s="1073">
        <v>2.2</v>
      </c>
      <c r="L29" s="1073">
        <v>3.1</v>
      </c>
      <c r="M29" s="1074">
        <f t="shared" si="0"/>
        <v>2.6500000000000004</v>
      </c>
      <c r="N29" s="1031"/>
    </row>
    <row r="30" spans="1:14" ht="13.5">
      <c r="A30" s="1078"/>
      <c r="B30" s="1092">
        <v>1.7</v>
      </c>
      <c r="C30" s="1093">
        <v>70</v>
      </c>
      <c r="D30" s="1094">
        <f>0.47318*(B30-VLOOKUP(C30,E85:F112,2))/(K65*28.35)</f>
        <v>0.0541514810090703</v>
      </c>
      <c r="E30" s="2244">
        <f>8*$B$26*D30</f>
        <v>2.5992710884353745</v>
      </c>
      <c r="F30" s="1095">
        <f>0.47318*($B30-(VLOOKUP($C$30,E85:F112,2)))/(K73*28.35)</f>
        <v>0.057001558956916096</v>
      </c>
      <c r="G30" s="2246">
        <f>8*$B$26*F30</f>
        <v>2.7360748299319724</v>
      </c>
      <c r="H30" s="1080"/>
      <c r="I30" s="1080"/>
      <c r="J30" s="1083" t="s">
        <v>1719</v>
      </c>
      <c r="K30" s="1073">
        <v>2.4</v>
      </c>
      <c r="L30" s="1073">
        <v>2.4</v>
      </c>
      <c r="M30" s="1074">
        <f t="shared" si="0"/>
        <v>2.4</v>
      </c>
      <c r="N30" s="1031"/>
    </row>
    <row r="31" spans="1:14" ht="13.5">
      <c r="A31" s="1117"/>
      <c r="B31" s="1118"/>
      <c r="C31" s="1118"/>
      <c r="D31" s="2247">
        <f>28.35*D30</f>
        <v>1.5351944866071432</v>
      </c>
      <c r="E31" s="2248">
        <f>28.35*E30</f>
        <v>73.68933535714287</v>
      </c>
      <c r="F31" s="2247">
        <f>28.35*F30</f>
        <v>1.6159941964285713</v>
      </c>
      <c r="G31" s="2248">
        <f>28.35*G30</f>
        <v>77.56772142857142</v>
      </c>
      <c r="H31" s="1099" t="s">
        <v>1707</v>
      </c>
      <c r="I31" s="1099"/>
      <c r="J31" s="1072" t="s">
        <v>1720</v>
      </c>
      <c r="K31" s="1073">
        <v>0.8</v>
      </c>
      <c r="L31" s="1073">
        <v>1.3</v>
      </c>
      <c r="M31" s="1074">
        <f t="shared" si="0"/>
        <v>1.05</v>
      </c>
      <c r="N31" s="1031"/>
    </row>
    <row r="32" spans="1:14" ht="13.5">
      <c r="A32" s="1117"/>
      <c r="B32" s="1118"/>
      <c r="C32" s="1118"/>
      <c r="D32" s="1098">
        <f>D31/$G$37</f>
        <v>0.48737679847439186</v>
      </c>
      <c r="E32" s="1098">
        <f>E31/$G$37</f>
        <v>23.394086326770807</v>
      </c>
      <c r="F32" s="1098">
        <f>F31/$G$37</f>
        <v>0.5130282089204123</v>
      </c>
      <c r="G32" s="1098">
        <f>G31/$G$37</f>
        <v>24.62535402817979</v>
      </c>
      <c r="H32" s="1109" t="s">
        <v>1709</v>
      </c>
      <c r="I32" s="1109"/>
      <c r="J32" s="1083" t="s">
        <v>1721</v>
      </c>
      <c r="K32" s="1073">
        <v>1.5</v>
      </c>
      <c r="L32" s="1073">
        <v>2.3</v>
      </c>
      <c r="M32" s="1074">
        <f t="shared" si="0"/>
        <v>1.9</v>
      </c>
      <c r="N32" s="1031"/>
    </row>
    <row r="33" spans="1:14" ht="13.5">
      <c r="A33" s="1117"/>
      <c r="B33" s="1119"/>
      <c r="C33" s="1119"/>
      <c r="D33" s="1119"/>
      <c r="E33" s="1119"/>
      <c r="F33" s="1119"/>
      <c r="G33" s="1204"/>
      <c r="H33" s="1205"/>
      <c r="I33" s="1109"/>
      <c r="J33" s="1072" t="s">
        <v>1722</v>
      </c>
      <c r="K33" s="1073">
        <v>1.3</v>
      </c>
      <c r="L33" s="1073">
        <v>2</v>
      </c>
      <c r="M33" s="1074">
        <f t="shared" si="0"/>
        <v>1.65</v>
      </c>
      <c r="N33" s="1031"/>
    </row>
    <row r="34" spans="1:14" ht="13.5">
      <c r="A34" s="1120"/>
      <c r="B34" s="2846" t="s">
        <v>1723</v>
      </c>
      <c r="C34" s="2633"/>
      <c r="D34" s="2633"/>
      <c r="E34" s="1108"/>
      <c r="F34" s="1121"/>
      <c r="G34" s="1206"/>
      <c r="H34" s="1206"/>
      <c r="I34" s="1109"/>
      <c r="J34" s="1083" t="s">
        <v>1724</v>
      </c>
      <c r="K34" s="1073">
        <v>1.5</v>
      </c>
      <c r="L34" s="1073">
        <v>2.3</v>
      </c>
      <c r="M34" s="1074">
        <f t="shared" si="0"/>
        <v>1.9</v>
      </c>
      <c r="N34" s="1031"/>
    </row>
    <row r="35" spans="1:14" ht="13.5">
      <c r="A35" s="1117"/>
      <c r="B35" s="1123" t="s">
        <v>107</v>
      </c>
      <c r="C35" s="1123" t="s">
        <v>361</v>
      </c>
      <c r="D35" s="1123" t="s">
        <v>1725</v>
      </c>
      <c r="E35" s="1108"/>
      <c r="F35" s="1124"/>
      <c r="G35" s="2855" t="s">
        <v>1726</v>
      </c>
      <c r="H35" s="2856"/>
      <c r="I35" s="1109"/>
      <c r="J35" s="1072" t="s">
        <v>1727</v>
      </c>
      <c r="K35" s="1073">
        <v>1.5</v>
      </c>
      <c r="L35" s="1073">
        <v>2.3</v>
      </c>
      <c r="M35" s="1074">
        <f t="shared" si="0"/>
        <v>1.9</v>
      </c>
      <c r="N35" s="1031"/>
    </row>
    <row r="36" spans="1:14" ht="13.5">
      <c r="A36" s="1096"/>
      <c r="B36" s="1123">
        <f>((C36+40)*5/9)-40</f>
        <v>0</v>
      </c>
      <c r="C36" s="1125">
        <v>32</v>
      </c>
      <c r="D36" s="1123">
        <f>((C36+40)*9/5)-40</f>
        <v>89.6</v>
      </c>
      <c r="E36" s="1108"/>
      <c r="F36" s="1119"/>
      <c r="G36" s="1204"/>
      <c r="H36" s="1205"/>
      <c r="I36" s="1109"/>
      <c r="J36" s="1083" t="s">
        <v>1728</v>
      </c>
      <c r="K36" s="1073">
        <v>1.9</v>
      </c>
      <c r="L36" s="1073">
        <v>2.5</v>
      </c>
      <c r="M36" s="1074">
        <f t="shared" si="0"/>
        <v>2.2</v>
      </c>
      <c r="N36" s="1031"/>
    </row>
    <row r="37" spans="1:14" ht="13.5">
      <c r="A37" s="1117"/>
      <c r="B37" s="1081"/>
      <c r="C37" s="1081"/>
      <c r="D37" s="1081"/>
      <c r="E37" s="1108"/>
      <c r="F37" s="1202"/>
      <c r="G37" s="1220">
        <f>G38*28.3495</f>
        <v>3.149912945</v>
      </c>
      <c r="H37" s="113"/>
      <c r="I37" s="1109"/>
      <c r="J37" s="1072" t="s">
        <v>1729</v>
      </c>
      <c r="K37" s="1073">
        <v>2.3</v>
      </c>
      <c r="L37" s="1073">
        <v>2.6</v>
      </c>
      <c r="M37" s="1074">
        <f t="shared" si="0"/>
        <v>2.45</v>
      </c>
      <c r="N37" s="1031"/>
    </row>
    <row r="38" spans="1:14" ht="13.5">
      <c r="A38" s="1117"/>
      <c r="B38" s="2857" t="s">
        <v>1730</v>
      </c>
      <c r="C38" s="2858"/>
      <c r="D38" s="2859"/>
      <c r="E38" s="2848" t="s">
        <v>32</v>
      </c>
      <c r="F38" s="2849"/>
      <c r="G38" s="2242">
        <v>0.11111</v>
      </c>
      <c r="H38" s="2241" t="s">
        <v>105</v>
      </c>
      <c r="I38" s="1031"/>
      <c r="J38" s="1083" t="s">
        <v>1731</v>
      </c>
      <c r="K38" s="1073">
        <v>2.5</v>
      </c>
      <c r="L38" s="1073">
        <v>2.5</v>
      </c>
      <c r="M38" s="1074">
        <f t="shared" si="0"/>
        <v>2.5</v>
      </c>
      <c r="N38" s="1031"/>
    </row>
    <row r="39" spans="1:14" ht="13.5">
      <c r="A39" s="1117"/>
      <c r="B39" s="1123" t="s">
        <v>290</v>
      </c>
      <c r="C39" s="1123" t="s">
        <v>364</v>
      </c>
      <c r="D39" s="1123" t="s">
        <v>105</v>
      </c>
      <c r="F39" s="1215" t="s">
        <v>290</v>
      </c>
      <c r="G39" s="1215" t="s">
        <v>106</v>
      </c>
      <c r="H39" s="1215" t="s">
        <v>105</v>
      </c>
      <c r="I39" s="463"/>
      <c r="J39" s="1072" t="s">
        <v>1732</v>
      </c>
      <c r="K39" s="1073">
        <v>2.2</v>
      </c>
      <c r="L39" s="1073">
        <v>2.7</v>
      </c>
      <c r="M39" s="1074">
        <f t="shared" si="0"/>
        <v>2.45</v>
      </c>
      <c r="N39" s="1031"/>
    </row>
    <row r="40" spans="1:14" ht="13.5">
      <c r="A40" s="1117"/>
      <c r="B40" s="1126">
        <f>C40*28.35</f>
        <v>113.4</v>
      </c>
      <c r="C40" s="1125">
        <v>4</v>
      </c>
      <c r="D40" s="1127">
        <f>C40/28.35</f>
        <v>0.14109347442680775</v>
      </c>
      <c r="E40" s="460"/>
      <c r="F40" s="1216">
        <f>G40*G38*28.3495</f>
        <v>3.149912945</v>
      </c>
      <c r="G40" s="1217">
        <v>1</v>
      </c>
      <c r="H40" s="1221">
        <f>G38*G40</f>
        <v>0.11111</v>
      </c>
      <c r="I40" s="113"/>
      <c r="J40" s="1083" t="s">
        <v>1733</v>
      </c>
      <c r="K40" s="1073">
        <v>1.5</v>
      </c>
      <c r="L40" s="1073">
        <v>2.3</v>
      </c>
      <c r="M40" s="1074">
        <f t="shared" si="0"/>
        <v>1.9</v>
      </c>
      <c r="N40" s="1031"/>
    </row>
    <row r="41" spans="1:14" ht="13.5">
      <c r="A41" s="1117"/>
      <c r="B41" s="1081"/>
      <c r="C41" s="1081"/>
      <c r="D41" s="1081"/>
      <c r="E41" s="1213"/>
      <c r="F41" s="1214"/>
      <c r="G41" s="1214"/>
      <c r="H41" s="1214"/>
      <c r="I41" s="463"/>
      <c r="J41" s="1072" t="s">
        <v>1734</v>
      </c>
      <c r="K41" s="1073">
        <v>1.5</v>
      </c>
      <c r="L41" s="1073">
        <v>2.3</v>
      </c>
      <c r="M41" s="1074">
        <f t="shared" si="0"/>
        <v>1.9</v>
      </c>
      <c r="N41" s="1031"/>
    </row>
    <row r="42" spans="1:14" ht="13.5">
      <c r="A42" s="1117"/>
      <c r="B42" s="2846" t="s">
        <v>366</v>
      </c>
      <c r="C42" s="2847"/>
      <c r="D42" s="2847"/>
      <c r="E42" s="1213"/>
      <c r="F42" s="1214"/>
      <c r="G42" s="1214"/>
      <c r="H42" s="1214"/>
      <c r="I42" s="463"/>
      <c r="J42" s="1083" t="s">
        <v>1735</v>
      </c>
      <c r="K42" s="1073">
        <v>1.6</v>
      </c>
      <c r="L42" s="1073">
        <v>2</v>
      </c>
      <c r="M42" s="1074">
        <f t="shared" si="0"/>
        <v>1.8</v>
      </c>
      <c r="N42" s="1031"/>
    </row>
    <row r="43" spans="1:14" ht="13.5">
      <c r="A43" s="1117"/>
      <c r="B43" s="1128" t="s">
        <v>1736</v>
      </c>
      <c r="C43" s="2851" t="s">
        <v>367</v>
      </c>
      <c r="D43" s="1129" t="s">
        <v>1737</v>
      </c>
      <c r="E43" s="1214"/>
      <c r="F43" s="1214"/>
      <c r="G43" s="1214"/>
      <c r="H43" s="1214"/>
      <c r="I43" s="463"/>
      <c r="J43" s="1072" t="s">
        <v>1738</v>
      </c>
      <c r="K43" s="1073">
        <v>2.4</v>
      </c>
      <c r="L43" s="1073">
        <v>2.7</v>
      </c>
      <c r="M43" s="1074">
        <f t="shared" si="0"/>
        <v>2.55</v>
      </c>
      <c r="N43" s="1031"/>
    </row>
    <row r="44" spans="1:14" ht="13.5">
      <c r="A44" s="1117"/>
      <c r="B44" s="1130" t="s">
        <v>1739</v>
      </c>
      <c r="C44" s="2852"/>
      <c r="D44" s="1131" t="s">
        <v>1739</v>
      </c>
      <c r="E44" s="1214"/>
      <c r="F44" s="1214"/>
      <c r="G44" s="1214"/>
      <c r="H44" s="1214"/>
      <c r="I44" s="463"/>
      <c r="J44" s="1072" t="s">
        <v>141</v>
      </c>
      <c r="K44" s="1073">
        <v>2.2</v>
      </c>
      <c r="L44" s="1073">
        <v>3</v>
      </c>
      <c r="M44" s="1074">
        <f t="shared" si="0"/>
        <v>2.6</v>
      </c>
      <c r="N44" s="1031"/>
    </row>
    <row r="45" spans="1:14" ht="13.5">
      <c r="A45" s="1117"/>
      <c r="B45" s="1132">
        <f>C45*0.219974</f>
        <v>1.0998700000000001</v>
      </c>
      <c r="C45" s="1133">
        <v>5</v>
      </c>
      <c r="D45" s="1132">
        <f>B45*6/5</f>
        <v>1.3198440000000002</v>
      </c>
      <c r="E45" s="1218"/>
      <c r="F45" s="1214"/>
      <c r="G45" s="1214"/>
      <c r="H45" s="1214"/>
      <c r="I45" s="463"/>
      <c r="J45" s="1134" t="s">
        <v>363</v>
      </c>
      <c r="K45" s="1135">
        <v>2.4</v>
      </c>
      <c r="L45" s="1136">
        <v>2.7</v>
      </c>
      <c r="M45" s="1137">
        <f t="shared" si="0"/>
        <v>2.55</v>
      </c>
      <c r="N45" s="1031"/>
    </row>
    <row r="46" spans="1:14" ht="13.5">
      <c r="A46" s="1117"/>
      <c r="B46" s="1138"/>
      <c r="C46" s="1138"/>
      <c r="D46" s="1138"/>
      <c r="E46" s="1218"/>
      <c r="F46" s="1218"/>
      <c r="G46" s="1218"/>
      <c r="H46" s="1218"/>
      <c r="I46" s="463"/>
      <c r="J46" s="1139" t="s">
        <v>362</v>
      </c>
      <c r="K46" s="1140">
        <v>2.2</v>
      </c>
      <c r="L46" s="1140">
        <v>2.7</v>
      </c>
      <c r="M46" s="1141">
        <f t="shared" si="0"/>
        <v>2.45</v>
      </c>
      <c r="N46" s="1031"/>
    </row>
    <row r="47" spans="1:14" ht="13.5">
      <c r="A47" s="1117"/>
      <c r="B47" s="1128" t="s">
        <v>1736</v>
      </c>
      <c r="C47" s="2851" t="s">
        <v>1739</v>
      </c>
      <c r="D47" s="1129" t="s">
        <v>1737</v>
      </c>
      <c r="E47" s="463"/>
      <c r="F47" s="1212"/>
      <c r="G47" s="1212"/>
      <c r="H47" s="1212"/>
      <c r="I47" s="463"/>
      <c r="J47" s="1083" t="s">
        <v>1740</v>
      </c>
      <c r="K47" s="1073">
        <v>2.2</v>
      </c>
      <c r="L47" s="1073">
        <v>2.7</v>
      </c>
      <c r="M47" s="1074">
        <f t="shared" si="0"/>
        <v>2.45</v>
      </c>
      <c r="N47" s="1031"/>
    </row>
    <row r="48" spans="1:14" ht="13.5">
      <c r="A48" s="1117"/>
      <c r="B48" s="1142" t="s">
        <v>1739</v>
      </c>
      <c r="C48" s="2852"/>
      <c r="D48" s="1143" t="s">
        <v>1739</v>
      </c>
      <c r="E48" s="463"/>
      <c r="F48" s="1212"/>
      <c r="G48" s="1212"/>
      <c r="H48" s="1212"/>
      <c r="I48" s="463"/>
      <c r="J48" s="1072" t="s">
        <v>1741</v>
      </c>
      <c r="K48" s="1073">
        <v>2.6</v>
      </c>
      <c r="L48" s="1073">
        <v>2.7</v>
      </c>
      <c r="M48" s="1074">
        <f t="shared" si="0"/>
        <v>2.6500000000000004</v>
      </c>
      <c r="N48" s="1031"/>
    </row>
    <row r="49" spans="1:14" ht="13.5">
      <c r="A49" s="1117"/>
      <c r="B49" s="1144">
        <f>C49*5/6</f>
        <v>4.166666666666667</v>
      </c>
      <c r="C49" s="1145">
        <v>5</v>
      </c>
      <c r="D49" s="1146">
        <f>C49*6/5</f>
        <v>6</v>
      </c>
      <c r="E49" s="463"/>
      <c r="F49" s="1212"/>
      <c r="G49" s="1212"/>
      <c r="H49" s="1212"/>
      <c r="I49" s="463"/>
      <c r="J49" s="1083" t="s">
        <v>1742</v>
      </c>
      <c r="K49" s="1073">
        <v>2.3</v>
      </c>
      <c r="L49" s="1073">
        <v>2.7</v>
      </c>
      <c r="M49" s="1074">
        <f t="shared" si="0"/>
        <v>2.5</v>
      </c>
      <c r="N49" s="1031"/>
    </row>
    <row r="50" spans="1:14" ht="13.5">
      <c r="A50" s="1117"/>
      <c r="B50" s="1121"/>
      <c r="C50" s="1121"/>
      <c r="D50" s="1121"/>
      <c r="E50" s="1119"/>
      <c r="F50" s="1147"/>
      <c r="G50" s="1147"/>
      <c r="H50" s="463"/>
      <c r="I50" s="463"/>
      <c r="J50" s="1072" t="s">
        <v>1743</v>
      </c>
      <c r="K50" s="1073">
        <v>2.2</v>
      </c>
      <c r="L50" s="1073">
        <v>2.7</v>
      </c>
      <c r="M50" s="1074">
        <f t="shared" si="0"/>
        <v>2.45</v>
      </c>
      <c r="N50" s="1031"/>
    </row>
    <row r="51" spans="1:14" ht="13.5">
      <c r="A51" s="1117"/>
      <c r="B51" s="2846" t="s">
        <v>16</v>
      </c>
      <c r="C51" s="2620"/>
      <c r="D51" s="2620"/>
      <c r="E51" s="2620"/>
      <c r="F51" s="2620"/>
      <c r="G51" s="2620"/>
      <c r="I51" s="463"/>
      <c r="J51" s="1083" t="s">
        <v>1744</v>
      </c>
      <c r="K51" s="1073">
        <v>1.9</v>
      </c>
      <c r="L51" s="1073">
        <v>2.5</v>
      </c>
      <c r="M51" s="1074">
        <f t="shared" si="0"/>
        <v>2.2</v>
      </c>
      <c r="N51" s="1031"/>
    </row>
    <row r="52" spans="1:14" ht="13.5">
      <c r="A52" s="1117"/>
      <c r="B52" s="1053" t="s">
        <v>17</v>
      </c>
      <c r="C52" s="1054" t="s">
        <v>1745</v>
      </c>
      <c r="D52" s="1055" t="s">
        <v>1746</v>
      </c>
      <c r="E52" s="2860" t="s">
        <v>1747</v>
      </c>
      <c r="F52" s="2861"/>
      <c r="G52" s="2862"/>
      <c r="H52" s="463"/>
      <c r="I52" s="463"/>
      <c r="J52" s="1072" t="s">
        <v>1748</v>
      </c>
      <c r="K52" s="1073">
        <v>1.7</v>
      </c>
      <c r="L52" s="1073">
        <v>2.5</v>
      </c>
      <c r="M52" s="1074">
        <f t="shared" si="0"/>
        <v>2.1</v>
      </c>
      <c r="N52" s="1031"/>
    </row>
    <row r="53" spans="1:14" ht="13.5">
      <c r="A53" s="1148"/>
      <c r="B53" s="1056">
        <v>5</v>
      </c>
      <c r="C53" s="1057">
        <v>3</v>
      </c>
      <c r="D53" s="1058">
        <f>((C53+40)*(9/5))-40</f>
        <v>37.400000000000006</v>
      </c>
      <c r="E53" s="1059" t="str">
        <f>FIXED(SUM(-16.6999,PRODUCT(-0.0101059,$D53),PRODUCT(0.00116512,POWER($D53,2)),PRODUCT(0.173354,$D53,B53),PRODUCT(4.24267,B53),PRODUCT(-0.0684226,POWER(B53,2))),1)</f>
        <v>36.5</v>
      </c>
      <c r="F53" s="1060">
        <f>E53*0.068046</f>
        <v>2.483679</v>
      </c>
      <c r="G53" s="1060">
        <f>E53*0.068948</f>
        <v>2.516602</v>
      </c>
      <c r="H53" s="463"/>
      <c r="I53" s="463"/>
      <c r="J53" s="1083" t="s">
        <v>1749</v>
      </c>
      <c r="K53" s="1073">
        <v>2.2</v>
      </c>
      <c r="L53" s="1073">
        <v>2.6</v>
      </c>
      <c r="M53" s="1074">
        <f t="shared" si="0"/>
        <v>2.4000000000000004</v>
      </c>
      <c r="N53" s="1031"/>
    </row>
    <row r="54" spans="1:14" ht="15">
      <c r="A54" s="1149"/>
      <c r="B54" s="1149"/>
      <c r="C54" s="1149"/>
      <c r="D54" s="1149"/>
      <c r="E54" s="1149"/>
      <c r="F54" s="1149"/>
      <c r="G54" s="1149"/>
      <c r="H54" s="463"/>
      <c r="I54" s="463"/>
      <c r="J54" s="1072" t="s">
        <v>1750</v>
      </c>
      <c r="K54" s="1073">
        <v>0.8</v>
      </c>
      <c r="L54" s="1073">
        <v>1.3</v>
      </c>
      <c r="M54" s="1074">
        <f t="shared" si="0"/>
        <v>1.05</v>
      </c>
      <c r="N54" s="1031"/>
    </row>
    <row r="55" spans="1:14" ht="15">
      <c r="A55" s="2863" t="s">
        <v>1751</v>
      </c>
      <c r="B55" s="2387"/>
      <c r="C55" s="2387"/>
      <c r="D55" s="1150"/>
      <c r="E55" s="1150"/>
      <c r="F55" s="1150"/>
      <c r="G55" s="1150"/>
      <c r="H55" s="463"/>
      <c r="I55" s="463"/>
      <c r="J55" s="1083" t="s">
        <v>1752</v>
      </c>
      <c r="K55" s="1073">
        <v>1.5</v>
      </c>
      <c r="L55" s="1073">
        <v>2.3</v>
      </c>
      <c r="M55" s="1074">
        <f t="shared" si="0"/>
        <v>1.9</v>
      </c>
      <c r="N55" s="1031"/>
    </row>
    <row r="56" spans="1:14" ht="15">
      <c r="A56" s="1207"/>
      <c r="B56" s="1208"/>
      <c r="C56" s="1208"/>
      <c r="D56" s="1206"/>
      <c r="E56" s="1206"/>
      <c r="F56" s="1150"/>
      <c r="G56" s="1150"/>
      <c r="H56" s="1209"/>
      <c r="I56" s="1209"/>
      <c r="J56" s="1072" t="s">
        <v>1753</v>
      </c>
      <c r="K56" s="1073">
        <v>2</v>
      </c>
      <c r="L56" s="1073">
        <v>2.4</v>
      </c>
      <c r="M56" s="1074">
        <f t="shared" si="0"/>
        <v>2.2</v>
      </c>
      <c r="N56" s="1031"/>
    </row>
    <row r="57" spans="1:14" ht="15">
      <c r="A57" s="2866" t="s">
        <v>1754</v>
      </c>
      <c r="B57" s="2866"/>
      <c r="C57" s="911"/>
      <c r="D57" s="911"/>
      <c r="E57" s="911"/>
      <c r="F57" s="1150"/>
      <c r="G57" s="1150"/>
      <c r="H57" s="1209"/>
      <c r="I57" s="1209"/>
      <c r="J57" s="1083" t="s">
        <v>1755</v>
      </c>
      <c r="K57" s="1073">
        <v>2.4</v>
      </c>
      <c r="L57" s="1073">
        <v>2.6</v>
      </c>
      <c r="M57" s="1074">
        <f t="shared" si="0"/>
        <v>2.5</v>
      </c>
      <c r="N57" s="1031"/>
    </row>
    <row r="58" spans="1:14" ht="15">
      <c r="A58" s="1210"/>
      <c r="B58" s="2864" t="s">
        <v>1757</v>
      </c>
      <c r="C58" s="2865"/>
      <c r="D58" s="2865"/>
      <c r="E58" s="2865"/>
      <c r="F58" s="2865"/>
      <c r="G58" s="2865"/>
      <c r="H58" s="2865"/>
      <c r="I58" s="1209"/>
      <c r="J58" s="1072" t="s">
        <v>1758</v>
      </c>
      <c r="K58" s="1073">
        <v>3.6</v>
      </c>
      <c r="L58" s="1073">
        <v>4.5</v>
      </c>
      <c r="M58" s="1074">
        <f t="shared" si="0"/>
        <v>4.05</v>
      </c>
      <c r="N58" s="1031"/>
    </row>
    <row r="59" spans="1:14" ht="15">
      <c r="A59" s="1210"/>
      <c r="B59" s="2867" t="s">
        <v>1759</v>
      </c>
      <c r="C59" s="2865"/>
      <c r="D59" s="2865"/>
      <c r="E59" s="2865"/>
      <c r="F59" s="2865"/>
      <c r="G59" s="2865"/>
      <c r="H59" s="2865"/>
      <c r="I59" s="1209"/>
      <c r="J59" s="1072" t="s">
        <v>1760</v>
      </c>
      <c r="K59" s="1073">
        <v>3.7</v>
      </c>
      <c r="L59" s="1073">
        <v>4.7</v>
      </c>
      <c r="M59" s="1074">
        <f t="shared" si="0"/>
        <v>4.2</v>
      </c>
      <c r="N59" s="1031"/>
    </row>
    <row r="60" spans="1:14" ht="16.5" customHeight="1">
      <c r="A60" s="1210"/>
      <c r="B60" s="2867" t="s">
        <v>18</v>
      </c>
      <c r="C60" s="2869"/>
      <c r="D60" s="2869"/>
      <c r="E60" s="2869"/>
      <c r="F60" s="2869"/>
      <c r="G60" s="2869"/>
      <c r="H60" s="2869"/>
      <c r="I60" s="1211"/>
      <c r="J60" s="2833" t="s">
        <v>1761</v>
      </c>
      <c r="K60" s="2834"/>
      <c r="L60" s="2834"/>
      <c r="M60" s="2834"/>
      <c r="N60" s="463"/>
    </row>
    <row r="61" spans="1:14" ht="13.5">
      <c r="A61" s="1148"/>
      <c r="B61" s="2867" t="s">
        <v>1762</v>
      </c>
      <c r="C61" s="2868"/>
      <c r="D61" s="2868"/>
      <c r="E61" s="2868"/>
      <c r="F61" s="2868"/>
      <c r="G61" s="2868"/>
      <c r="H61" s="2868"/>
      <c r="I61" s="973"/>
      <c r="J61" s="2835"/>
      <c r="K61" s="2835"/>
      <c r="L61" s="2835"/>
      <c r="M61" s="2835"/>
      <c r="N61" s="463"/>
    </row>
    <row r="62" spans="1:14" ht="13.5">
      <c r="A62" s="1148"/>
      <c r="B62" s="1151"/>
      <c r="C62" s="1151"/>
      <c r="D62" s="1120" t="s">
        <v>1763</v>
      </c>
      <c r="E62" s="1152"/>
      <c r="F62" s="1151"/>
      <c r="G62" s="1153"/>
      <c r="H62" s="1080"/>
      <c r="I62" s="1080"/>
      <c r="J62" s="2835"/>
      <c r="K62" s="2835"/>
      <c r="L62" s="2835"/>
      <c r="M62" s="2835"/>
      <c r="N62" s="463"/>
    </row>
    <row r="63" spans="1:14" ht="13.5">
      <c r="A63" s="1148"/>
      <c r="B63" s="1154" t="s">
        <v>1764</v>
      </c>
      <c r="C63" s="1154" t="s">
        <v>1765</v>
      </c>
      <c r="D63" s="1155" t="s">
        <v>1766</v>
      </c>
      <c r="E63" s="1148"/>
      <c r="F63" s="1154" t="s">
        <v>1767</v>
      </c>
      <c r="G63" s="1156" t="s">
        <v>1768</v>
      </c>
      <c r="H63" s="1080"/>
      <c r="I63" s="1080"/>
      <c r="J63" s="2835"/>
      <c r="K63" s="2835"/>
      <c r="L63" s="2835"/>
      <c r="M63" s="2835"/>
      <c r="N63" s="463"/>
    </row>
    <row r="64" spans="1:14" ht="13.5">
      <c r="A64" s="1148"/>
      <c r="B64" s="1152"/>
      <c r="C64" s="1157"/>
      <c r="D64" s="1152"/>
      <c r="E64" s="1152"/>
      <c r="F64" s="1152"/>
      <c r="G64" s="1138" t="s">
        <v>1769</v>
      </c>
      <c r="H64" s="1080"/>
      <c r="I64" s="1080"/>
      <c r="J64" s="1158"/>
      <c r="K64" s="1159"/>
      <c r="L64" s="1159"/>
      <c r="M64" s="1160"/>
      <c r="N64" s="463"/>
    </row>
    <row r="65" spans="1:14" ht="15" customHeight="1">
      <c r="A65" s="1148"/>
      <c r="B65" s="1138" t="s">
        <v>1770</v>
      </c>
      <c r="C65" s="1161" t="s">
        <v>1771</v>
      </c>
      <c r="D65" s="1162" t="s">
        <v>1772</v>
      </c>
      <c r="E65" s="1163"/>
      <c r="F65" s="1161" t="s">
        <v>1773</v>
      </c>
      <c r="G65" s="1161" t="s">
        <v>1774</v>
      </c>
      <c r="H65" s="1164"/>
      <c r="I65" s="1164"/>
      <c r="J65" s="1165" t="s">
        <v>1775</v>
      </c>
      <c r="K65" s="1166">
        <f>89.6/342</f>
        <v>0.2619883040935672</v>
      </c>
      <c r="L65" s="2836" t="s">
        <v>19</v>
      </c>
      <c r="M65" s="2836"/>
      <c r="N65" s="463"/>
    </row>
    <row r="66" spans="1:14" ht="13.5">
      <c r="A66" s="1148"/>
      <c r="B66" s="1152"/>
      <c r="C66" s="1157"/>
      <c r="D66" s="1152"/>
      <c r="E66" s="1152"/>
      <c r="F66" s="1152"/>
      <c r="G66" s="1138" t="s">
        <v>1776</v>
      </c>
      <c r="H66" s="1164"/>
      <c r="I66" s="1164"/>
      <c r="J66" s="1164"/>
      <c r="K66" s="1164"/>
      <c r="L66" s="1167"/>
      <c r="M66" s="1160"/>
      <c r="N66" s="463"/>
    </row>
    <row r="67" spans="1:14" ht="13.5">
      <c r="A67" s="1148"/>
      <c r="B67" s="1164"/>
      <c r="C67" s="1164"/>
      <c r="D67" s="1164"/>
      <c r="E67" s="1164"/>
      <c r="F67" s="1108"/>
      <c r="G67" s="1108"/>
      <c r="H67" s="1158"/>
      <c r="I67" s="1158"/>
      <c r="J67" s="1159"/>
      <c r="K67" s="1159"/>
      <c r="L67" s="1160"/>
      <c r="M67" s="1160"/>
      <c r="N67" s="463"/>
    </row>
    <row r="68" spans="1:14" ht="13.5">
      <c r="A68" s="2871" t="s">
        <v>0</v>
      </c>
      <c r="B68" s="2868"/>
      <c r="C68" s="2868"/>
      <c r="D68" s="2868"/>
      <c r="E68" s="2868"/>
      <c r="F68" s="1152"/>
      <c r="G68" s="1152"/>
      <c r="H68" s="1152"/>
      <c r="I68" s="1152"/>
      <c r="J68" s="1152"/>
      <c r="K68" s="1152"/>
      <c r="L68" s="1152"/>
      <c r="M68" s="1160"/>
      <c r="N68" s="463"/>
    </row>
    <row r="69" spans="1:14" ht="15.75">
      <c r="A69" s="1148"/>
      <c r="B69" s="1168"/>
      <c r="C69" s="2870" t="s">
        <v>20</v>
      </c>
      <c r="D69" s="2870"/>
      <c r="E69" s="2870"/>
      <c r="F69" s="2870"/>
      <c r="G69" s="2870"/>
      <c r="H69" s="2870"/>
      <c r="I69" s="1169"/>
      <c r="J69" s="1170"/>
      <c r="K69" s="1168"/>
      <c r="L69" s="1168"/>
      <c r="M69" s="1160"/>
      <c r="N69" s="463"/>
    </row>
    <row r="70" spans="1:14" ht="13.5">
      <c r="A70" s="1148"/>
      <c r="B70" s="1151"/>
      <c r="C70" s="1148" t="s">
        <v>1</v>
      </c>
      <c r="D70" s="1154"/>
      <c r="E70" s="1148"/>
      <c r="F70" s="1148"/>
      <c r="G70" s="1148"/>
      <c r="H70" s="1152"/>
      <c r="I70" s="1152"/>
      <c r="J70" s="1152"/>
      <c r="K70" s="1152"/>
      <c r="L70" s="1152"/>
      <c r="M70" s="1160"/>
      <c r="N70" s="463"/>
    </row>
    <row r="71" spans="1:14" ht="13.5">
      <c r="A71" s="1148"/>
      <c r="B71" s="1152"/>
      <c r="C71" s="1148" t="s">
        <v>2</v>
      </c>
      <c r="D71" s="1154" t="s">
        <v>1765</v>
      </c>
      <c r="E71" s="1148"/>
      <c r="F71" s="1120" t="s">
        <v>3</v>
      </c>
      <c r="G71" s="1154" t="s">
        <v>4</v>
      </c>
      <c r="H71" s="1154"/>
      <c r="I71" s="1154"/>
      <c r="J71" s="1148"/>
      <c r="K71" s="1152"/>
      <c r="L71" s="1152"/>
      <c r="M71" s="1160"/>
      <c r="N71" s="463"/>
    </row>
    <row r="72" spans="1:14" ht="13.5">
      <c r="A72" s="1148"/>
      <c r="B72" s="1152"/>
      <c r="C72" s="1148"/>
      <c r="D72" s="1154"/>
      <c r="E72" s="1148"/>
      <c r="F72" s="1120"/>
      <c r="G72" s="1154" t="s">
        <v>5</v>
      </c>
      <c r="H72" s="1154"/>
      <c r="I72" s="1154"/>
      <c r="J72" s="1148"/>
      <c r="K72" s="1152"/>
      <c r="L72" s="1152"/>
      <c r="M72" s="1160"/>
      <c r="N72" s="463"/>
    </row>
    <row r="73" spans="1:14" ht="15" customHeight="1">
      <c r="A73" s="1148"/>
      <c r="B73" s="1152"/>
      <c r="C73" s="1171" t="s">
        <v>6</v>
      </c>
      <c r="D73" s="1154" t="s">
        <v>7</v>
      </c>
      <c r="E73" s="1152"/>
      <c r="F73" s="1081" t="s">
        <v>8</v>
      </c>
      <c r="G73" s="1154" t="s">
        <v>9</v>
      </c>
      <c r="H73" s="1152"/>
      <c r="I73" s="1152"/>
      <c r="J73" s="1165" t="s">
        <v>10</v>
      </c>
      <c r="K73" s="1172">
        <f>44.8/180</f>
        <v>0.24888888888888888</v>
      </c>
      <c r="L73" s="2836" t="s">
        <v>19</v>
      </c>
      <c r="M73" s="2836"/>
      <c r="N73" s="463"/>
    </row>
    <row r="74" spans="1:14" ht="13.5">
      <c r="A74" s="1164"/>
      <c r="B74" s="1152"/>
      <c r="C74" s="1148"/>
      <c r="D74" s="1148"/>
      <c r="E74" s="1148"/>
      <c r="F74" s="1148"/>
      <c r="G74" s="1154" t="s">
        <v>11</v>
      </c>
      <c r="H74" s="1080"/>
      <c r="I74" s="1080"/>
      <c r="J74" s="1148"/>
      <c r="K74" s="1173"/>
      <c r="L74" s="1152"/>
      <c r="M74" s="1160"/>
      <c r="N74" s="463"/>
    </row>
    <row r="75" spans="1:14" ht="15">
      <c r="A75" s="1121"/>
      <c r="B75" s="1174"/>
      <c r="C75" s="1149"/>
      <c r="D75" s="1149"/>
      <c r="E75" s="1149"/>
      <c r="F75" s="1149"/>
      <c r="G75" s="1175"/>
      <c r="H75" s="1064"/>
      <c r="I75" s="1064"/>
      <c r="J75" s="1148"/>
      <c r="K75" s="1173"/>
      <c r="L75" s="1152"/>
      <c r="M75" s="1160"/>
      <c r="N75" s="1062"/>
    </row>
    <row r="76" spans="1:14" ht="15" customHeight="1">
      <c r="A76" s="2838" t="s">
        <v>512</v>
      </c>
      <c r="B76" s="2838"/>
      <c r="C76" s="2838"/>
      <c r="D76" s="2838"/>
      <c r="E76" s="2838"/>
      <c r="F76" s="2838"/>
      <c r="G76" s="2838"/>
      <c r="H76" s="2838"/>
      <c r="I76" s="2838"/>
      <c r="J76" s="2838"/>
      <c r="K76" s="2838"/>
      <c r="L76" s="2838"/>
      <c r="M76" s="2838"/>
      <c r="N76" s="1062"/>
    </row>
    <row r="77" spans="1:14" ht="15">
      <c r="A77" s="2838"/>
      <c r="B77" s="2838"/>
      <c r="C77" s="2838"/>
      <c r="D77" s="2838"/>
      <c r="E77" s="2838"/>
      <c r="F77" s="2838"/>
      <c r="G77" s="2838"/>
      <c r="H77" s="2838"/>
      <c r="I77" s="2838"/>
      <c r="J77" s="2838"/>
      <c r="K77" s="2838"/>
      <c r="L77" s="2838"/>
      <c r="M77" s="2838"/>
      <c r="N77" s="1062"/>
    </row>
    <row r="78" spans="1:14" ht="15">
      <c r="A78" s="2838"/>
      <c r="B78" s="2838"/>
      <c r="C78" s="2838"/>
      <c r="D78" s="2838"/>
      <c r="E78" s="2838"/>
      <c r="F78" s="2838"/>
      <c r="G78" s="2838"/>
      <c r="H78" s="2838"/>
      <c r="I78" s="2838"/>
      <c r="J78" s="2838"/>
      <c r="K78" s="2838"/>
      <c r="L78" s="2838"/>
      <c r="M78" s="2838"/>
      <c r="N78" s="1062"/>
    </row>
    <row r="79" spans="1:14" ht="15.75" customHeight="1">
      <c r="A79" s="2838"/>
      <c r="B79" s="2838"/>
      <c r="C79" s="2838"/>
      <c r="D79" s="2838"/>
      <c r="E79" s="2838"/>
      <c r="F79" s="2838"/>
      <c r="G79" s="2838"/>
      <c r="H79" s="2838"/>
      <c r="I79" s="2838"/>
      <c r="J79" s="2838"/>
      <c r="K79" s="2838"/>
      <c r="L79" s="2838"/>
      <c r="M79" s="2838"/>
      <c r="N79" s="1062"/>
    </row>
    <row r="80" spans="1:14" ht="15.75" customHeight="1">
      <c r="A80" s="2838"/>
      <c r="B80" s="2838"/>
      <c r="C80" s="2838"/>
      <c r="D80" s="2838"/>
      <c r="E80" s="2838"/>
      <c r="F80" s="2838"/>
      <c r="G80" s="2838"/>
      <c r="H80" s="2838"/>
      <c r="I80" s="2838"/>
      <c r="J80" s="2838"/>
      <c r="K80" s="2838"/>
      <c r="L80" s="2838"/>
      <c r="M80" s="2838"/>
      <c r="N80" s="1062"/>
    </row>
    <row r="81" spans="1:14" ht="15.75" customHeight="1">
      <c r="A81" s="2838"/>
      <c r="B81" s="2838"/>
      <c r="C81" s="2838"/>
      <c r="D81" s="2838"/>
      <c r="E81" s="2838"/>
      <c r="F81" s="2838"/>
      <c r="G81" s="2838"/>
      <c r="H81" s="2838"/>
      <c r="I81" s="2838"/>
      <c r="J81" s="2838"/>
      <c r="K81" s="2838"/>
      <c r="L81" s="2838"/>
      <c r="M81" s="2838"/>
      <c r="N81" s="1062"/>
    </row>
    <row r="82" spans="1:14" ht="15.75" customHeight="1">
      <c r="A82" s="2838"/>
      <c r="B82" s="2838"/>
      <c r="C82" s="2838"/>
      <c r="D82" s="2838"/>
      <c r="E82" s="2838"/>
      <c r="F82" s="2838"/>
      <c r="G82" s="2838"/>
      <c r="H82" s="2838"/>
      <c r="I82" s="2838"/>
      <c r="J82" s="2838"/>
      <c r="K82" s="2838"/>
      <c r="L82" s="2838"/>
      <c r="M82" s="2838"/>
      <c r="N82" s="1062"/>
    </row>
    <row r="83" spans="1:14" s="1063" customFormat="1" ht="15.75" customHeight="1" hidden="1">
      <c r="A83" s="1149"/>
      <c r="B83" s="1176" t="s">
        <v>358</v>
      </c>
      <c r="C83" s="1177" t="s">
        <v>911</v>
      </c>
      <c r="D83" s="1122"/>
      <c r="E83" s="1176" t="s">
        <v>358</v>
      </c>
      <c r="F83" s="1177" t="s">
        <v>911</v>
      </c>
      <c r="G83" s="1122"/>
      <c r="H83" s="1122"/>
      <c r="I83" s="1122"/>
      <c r="J83" s="1122"/>
      <c r="K83" s="1122"/>
      <c r="L83" s="1122"/>
      <c r="M83" s="1122"/>
      <c r="N83" s="1061"/>
    </row>
    <row r="84" spans="1:14" s="1063" customFormat="1" ht="15.75" customHeight="1" hidden="1">
      <c r="A84" s="1149"/>
      <c r="B84" s="1070" t="s">
        <v>359</v>
      </c>
      <c r="C84" s="1178" t="s">
        <v>360</v>
      </c>
      <c r="D84" s="1122"/>
      <c r="E84" s="1179" t="s">
        <v>572</v>
      </c>
      <c r="F84" s="1178" t="s">
        <v>360</v>
      </c>
      <c r="G84" s="1122"/>
      <c r="H84" s="1122"/>
      <c r="I84" s="1122"/>
      <c r="J84" s="1122"/>
      <c r="K84" s="1122"/>
      <c r="L84" s="1122"/>
      <c r="M84" s="1122"/>
      <c r="N84" s="1061"/>
    </row>
    <row r="85" spans="1:14" s="1063" customFormat="1" ht="15.75" customHeight="1" hidden="1">
      <c r="A85" s="1149"/>
      <c r="B85" s="1180">
        <v>0</v>
      </c>
      <c r="C85" s="1181">
        <v>1.713</v>
      </c>
      <c r="D85" s="1122"/>
      <c r="E85" s="1182">
        <v>32</v>
      </c>
      <c r="F85" s="1183">
        <v>1.713</v>
      </c>
      <c r="G85" s="1122"/>
      <c r="H85" s="1122"/>
      <c r="I85" s="1122"/>
      <c r="J85" s="1122"/>
      <c r="K85" s="1122"/>
      <c r="L85" s="1122"/>
      <c r="M85" s="1122"/>
      <c r="N85" s="1061"/>
    </row>
    <row r="86" spans="1:14" s="1063" customFormat="1" ht="15.75" customHeight="1" hidden="1">
      <c r="A86" s="1149"/>
      <c r="B86" s="1184">
        <f aca="true" t="shared" si="1" ref="B86:B115">B85+1</f>
        <v>1</v>
      </c>
      <c r="C86" s="1185">
        <v>1.646</v>
      </c>
      <c r="D86" s="1122"/>
      <c r="E86" s="1182">
        <f>E85+2</f>
        <v>34</v>
      </c>
      <c r="F86" s="1186">
        <v>1.64</v>
      </c>
      <c r="G86" s="1122"/>
      <c r="H86" s="1122"/>
      <c r="I86" s="1122"/>
      <c r="J86" s="1122"/>
      <c r="K86" s="1122"/>
      <c r="L86" s="1122"/>
      <c r="M86" s="1122"/>
      <c r="N86" s="1061"/>
    </row>
    <row r="87" spans="1:14" s="1063" customFormat="1" ht="15.75" customHeight="1" hidden="1">
      <c r="A87" s="1149"/>
      <c r="B87" s="1180">
        <f t="shared" si="1"/>
        <v>2</v>
      </c>
      <c r="C87" s="1181">
        <v>1.584</v>
      </c>
      <c r="D87" s="1122"/>
      <c r="E87" s="1182">
        <f aca="true" t="shared" si="2" ref="E87:E108">E86+2</f>
        <v>36</v>
      </c>
      <c r="F87" s="1183">
        <v>1.57</v>
      </c>
      <c r="G87" s="1122"/>
      <c r="H87" s="1122"/>
      <c r="I87" s="1122"/>
      <c r="J87" s="1122"/>
      <c r="K87" s="1122"/>
      <c r="L87" s="1122"/>
      <c r="M87" s="1122"/>
      <c r="N87" s="1061"/>
    </row>
    <row r="88" spans="1:14" s="1063" customFormat="1" ht="15.75" customHeight="1" hidden="1">
      <c r="A88" s="1149"/>
      <c r="B88" s="1180">
        <f t="shared" si="1"/>
        <v>3</v>
      </c>
      <c r="C88" s="1181">
        <v>1.55</v>
      </c>
      <c r="D88" s="1122"/>
      <c r="E88" s="1182">
        <f t="shared" si="2"/>
        <v>38</v>
      </c>
      <c r="F88" s="1183">
        <v>1.51</v>
      </c>
      <c r="G88" s="1122"/>
      <c r="H88" s="1122"/>
      <c r="I88" s="1122"/>
      <c r="J88" s="1122"/>
      <c r="K88" s="1122"/>
      <c r="L88" s="1122"/>
      <c r="M88" s="1122"/>
      <c r="N88" s="1061"/>
    </row>
    <row r="89" spans="1:14" s="1063" customFormat="1" ht="15.75" customHeight="1" hidden="1">
      <c r="A89" s="1149"/>
      <c r="B89" s="1180">
        <f t="shared" si="1"/>
        <v>4</v>
      </c>
      <c r="C89" s="1181">
        <v>1.473</v>
      </c>
      <c r="D89" s="1122"/>
      <c r="E89" s="1182">
        <f t="shared" si="2"/>
        <v>40</v>
      </c>
      <c r="F89" s="1183">
        <v>1.45</v>
      </c>
      <c r="G89" s="1122"/>
      <c r="H89" s="1122"/>
      <c r="I89" s="1122"/>
      <c r="J89" s="1122"/>
      <c r="K89" s="1122"/>
      <c r="L89" s="1122"/>
      <c r="M89" s="1122"/>
      <c r="N89" s="1061"/>
    </row>
    <row r="90" spans="1:14" s="1063" customFormat="1" ht="15.75" customHeight="1" hidden="1">
      <c r="A90" s="1149"/>
      <c r="B90" s="1187">
        <f t="shared" si="1"/>
        <v>5</v>
      </c>
      <c r="C90" s="1181">
        <v>1.424</v>
      </c>
      <c r="D90" s="1122"/>
      <c r="E90" s="1182">
        <f t="shared" si="2"/>
        <v>42</v>
      </c>
      <c r="F90" s="1183">
        <v>1.4</v>
      </c>
      <c r="G90" s="1122"/>
      <c r="H90" s="1122"/>
      <c r="I90" s="1122"/>
      <c r="J90" s="1122"/>
      <c r="K90" s="1122"/>
      <c r="L90" s="1122"/>
      <c r="M90" s="1122"/>
      <c r="N90" s="1061"/>
    </row>
    <row r="91" spans="1:14" s="1063" customFormat="1" ht="15.75" customHeight="1" hidden="1">
      <c r="A91" s="1149"/>
      <c r="B91" s="1187">
        <f t="shared" si="1"/>
        <v>6</v>
      </c>
      <c r="C91" s="1181">
        <v>1.377</v>
      </c>
      <c r="D91" s="1122"/>
      <c r="E91" s="1182">
        <f t="shared" si="2"/>
        <v>44</v>
      </c>
      <c r="F91" s="1183">
        <v>1.35</v>
      </c>
      <c r="G91" s="1122"/>
      <c r="H91" s="1122"/>
      <c r="I91" s="1122"/>
      <c r="J91" s="1122"/>
      <c r="K91" s="1122"/>
      <c r="L91" s="1122"/>
      <c r="M91" s="1122"/>
      <c r="N91" s="1061"/>
    </row>
    <row r="92" spans="1:14" s="1063" customFormat="1" ht="15.75" customHeight="1" hidden="1">
      <c r="A92" s="1149"/>
      <c r="B92" s="1187">
        <f t="shared" si="1"/>
        <v>7</v>
      </c>
      <c r="C92" s="1181">
        <v>1.331</v>
      </c>
      <c r="D92" s="1122"/>
      <c r="E92" s="1182">
        <f t="shared" si="2"/>
        <v>46</v>
      </c>
      <c r="F92" s="1183">
        <v>1.29</v>
      </c>
      <c r="G92" s="1122"/>
      <c r="H92" s="1122"/>
      <c r="I92" s="1122"/>
      <c r="J92" s="1122"/>
      <c r="K92" s="1122"/>
      <c r="L92" s="1122"/>
      <c r="M92" s="1122"/>
      <c r="N92" s="1061"/>
    </row>
    <row r="93" spans="1:14" s="1063" customFormat="1" ht="15.75" customHeight="1" hidden="1">
      <c r="A93" s="1149"/>
      <c r="B93" s="1187">
        <f t="shared" si="1"/>
        <v>8</v>
      </c>
      <c r="C93" s="1181">
        <v>1.282</v>
      </c>
      <c r="D93" s="1122"/>
      <c r="E93" s="1182">
        <f t="shared" si="2"/>
        <v>48</v>
      </c>
      <c r="F93" s="1183">
        <v>1.24</v>
      </c>
      <c r="G93" s="1122"/>
      <c r="H93" s="1122"/>
      <c r="I93" s="1122"/>
      <c r="J93" s="1122"/>
      <c r="K93" s="1122"/>
      <c r="L93" s="1122"/>
      <c r="M93" s="1122"/>
      <c r="N93" s="1061"/>
    </row>
    <row r="94" spans="1:14" s="1063" customFormat="1" ht="15.75" customHeight="1" hidden="1">
      <c r="A94" s="1149"/>
      <c r="B94" s="1187">
        <f t="shared" si="1"/>
        <v>9</v>
      </c>
      <c r="C94" s="1181">
        <v>1.237</v>
      </c>
      <c r="D94" s="1122"/>
      <c r="E94" s="1182">
        <f t="shared" si="2"/>
        <v>50</v>
      </c>
      <c r="F94" s="1183">
        <v>1.19</v>
      </c>
      <c r="G94" s="1122"/>
      <c r="H94" s="1122"/>
      <c r="I94" s="1122"/>
      <c r="J94" s="1122"/>
      <c r="K94" s="1122"/>
      <c r="L94" s="1122"/>
      <c r="M94" s="1122"/>
      <c r="N94" s="1061"/>
    </row>
    <row r="95" spans="1:14" s="1063" customFormat="1" ht="15.75" customHeight="1" hidden="1">
      <c r="A95" s="1149"/>
      <c r="B95" s="1187">
        <f t="shared" si="1"/>
        <v>10</v>
      </c>
      <c r="C95" s="1181">
        <v>1.194</v>
      </c>
      <c r="D95" s="1122"/>
      <c r="E95" s="1182">
        <f t="shared" si="2"/>
        <v>52</v>
      </c>
      <c r="F95" s="1183">
        <v>1.154</v>
      </c>
      <c r="G95" s="1122"/>
      <c r="H95" s="1122"/>
      <c r="I95" s="1122"/>
      <c r="J95" s="1122"/>
      <c r="K95" s="1122"/>
      <c r="L95" s="1122"/>
      <c r="M95" s="1122"/>
      <c r="N95" s="1061"/>
    </row>
    <row r="96" spans="1:14" s="1063" customFormat="1" ht="15.75" customHeight="1" hidden="1">
      <c r="A96" s="1149"/>
      <c r="B96" s="1187">
        <f t="shared" si="1"/>
        <v>11</v>
      </c>
      <c r="C96" s="1181">
        <v>1.154</v>
      </c>
      <c r="D96" s="1122"/>
      <c r="E96" s="1182">
        <f t="shared" si="2"/>
        <v>54</v>
      </c>
      <c r="F96" s="1183">
        <v>1.1</v>
      </c>
      <c r="G96" s="1122"/>
      <c r="H96" s="1122"/>
      <c r="I96" s="1122"/>
      <c r="J96" s="1122"/>
      <c r="K96" s="1122"/>
      <c r="L96" s="1122"/>
      <c r="M96" s="1122"/>
      <c r="N96" s="1061"/>
    </row>
    <row r="97" spans="1:14" s="1063" customFormat="1" ht="15.75" customHeight="1" hidden="1">
      <c r="A97" s="1188"/>
      <c r="B97" s="1187">
        <f t="shared" si="1"/>
        <v>12</v>
      </c>
      <c r="C97" s="1181">
        <v>1.117</v>
      </c>
      <c r="D97" s="1122"/>
      <c r="E97" s="1182">
        <f t="shared" si="2"/>
        <v>56</v>
      </c>
      <c r="F97" s="1183">
        <v>1.08</v>
      </c>
      <c r="G97" s="1122"/>
      <c r="H97" s="1122"/>
      <c r="I97" s="1122"/>
      <c r="J97" s="1122"/>
      <c r="K97" s="1122"/>
      <c r="L97" s="1122"/>
      <c r="M97" s="1122"/>
      <c r="N97" s="1061"/>
    </row>
    <row r="98" spans="1:14" s="1063" customFormat="1" ht="15.75" customHeight="1" hidden="1">
      <c r="A98" s="1188"/>
      <c r="B98" s="1187">
        <f t="shared" si="1"/>
        <v>13</v>
      </c>
      <c r="C98" s="1181">
        <v>1.083</v>
      </c>
      <c r="D98" s="1122"/>
      <c r="E98" s="1182">
        <f t="shared" si="2"/>
        <v>58</v>
      </c>
      <c r="F98" s="1183">
        <v>1.04</v>
      </c>
      <c r="G98" s="1122"/>
      <c r="H98" s="1122"/>
      <c r="I98" s="1122"/>
      <c r="J98" s="1122"/>
      <c r="K98" s="1122"/>
      <c r="L98" s="1122"/>
      <c r="M98" s="1122"/>
      <c r="N98" s="1061"/>
    </row>
    <row r="99" spans="1:14" s="1063" customFormat="1" ht="15.75" customHeight="1" hidden="1">
      <c r="A99" s="1188"/>
      <c r="B99" s="1187">
        <f t="shared" si="1"/>
        <v>14</v>
      </c>
      <c r="C99" s="1181">
        <v>1.05</v>
      </c>
      <c r="D99" s="1122"/>
      <c r="E99" s="1182">
        <f t="shared" si="2"/>
        <v>60</v>
      </c>
      <c r="F99" s="1183">
        <v>1</v>
      </c>
      <c r="G99" s="1122"/>
      <c r="H99" s="1122"/>
      <c r="I99" s="1122"/>
      <c r="J99" s="1122"/>
      <c r="K99" s="1122"/>
      <c r="L99" s="1122"/>
      <c r="M99" s="1122"/>
      <c r="N99" s="1061"/>
    </row>
    <row r="100" spans="1:14" s="1063" customFormat="1" ht="15.75" customHeight="1" hidden="1">
      <c r="A100" s="1188"/>
      <c r="B100" s="1187">
        <f t="shared" si="1"/>
        <v>15</v>
      </c>
      <c r="C100" s="1181">
        <v>1.019</v>
      </c>
      <c r="D100" s="1122"/>
      <c r="E100" s="1182">
        <f t="shared" si="2"/>
        <v>62</v>
      </c>
      <c r="F100" s="1183">
        <v>0.97</v>
      </c>
      <c r="G100" s="1122"/>
      <c r="H100" s="1122"/>
      <c r="I100" s="1122"/>
      <c r="J100" s="1122"/>
      <c r="K100" s="1122"/>
      <c r="L100" s="1122"/>
      <c r="M100" s="1122"/>
      <c r="N100" s="1061"/>
    </row>
    <row r="101" spans="1:14" s="1063" customFormat="1" ht="15.75" customHeight="1" hidden="1">
      <c r="A101" s="1188"/>
      <c r="B101" s="1187">
        <f t="shared" si="1"/>
        <v>16</v>
      </c>
      <c r="C101" s="1181">
        <v>0.985</v>
      </c>
      <c r="D101" s="1122"/>
      <c r="E101" s="1182">
        <f t="shared" si="2"/>
        <v>64</v>
      </c>
      <c r="F101" s="1183">
        <v>0.93</v>
      </c>
      <c r="G101" s="1122"/>
      <c r="H101" s="1122"/>
      <c r="I101" s="1122"/>
      <c r="J101" s="1122"/>
      <c r="K101" s="1122"/>
      <c r="L101" s="1122"/>
      <c r="M101" s="1122"/>
      <c r="N101" s="1061"/>
    </row>
    <row r="102" spans="1:14" s="1063" customFormat="1" ht="15.75" customHeight="1" hidden="1">
      <c r="A102" s="1188"/>
      <c r="B102" s="1187">
        <f t="shared" si="1"/>
        <v>17</v>
      </c>
      <c r="C102" s="1181">
        <v>0.956</v>
      </c>
      <c r="D102" s="1122"/>
      <c r="E102" s="1182">
        <f t="shared" si="2"/>
        <v>66</v>
      </c>
      <c r="F102" s="1189">
        <v>0.9</v>
      </c>
      <c r="G102" s="1122"/>
      <c r="H102" s="1122"/>
      <c r="I102" s="1122"/>
      <c r="J102" s="1122"/>
      <c r="K102" s="1122"/>
      <c r="L102" s="1122"/>
      <c r="M102" s="1122"/>
      <c r="N102" s="1061"/>
    </row>
    <row r="103" spans="1:14" s="1063" customFormat="1" ht="15.75" customHeight="1" hidden="1">
      <c r="A103" s="1188"/>
      <c r="B103" s="1187">
        <f t="shared" si="1"/>
        <v>18</v>
      </c>
      <c r="C103" s="1181">
        <v>0.928</v>
      </c>
      <c r="D103" s="1122"/>
      <c r="E103" s="1182">
        <f t="shared" si="2"/>
        <v>68</v>
      </c>
      <c r="F103" s="1183">
        <v>0.88</v>
      </c>
      <c r="G103" s="1122"/>
      <c r="H103" s="1122"/>
      <c r="I103" s="1122"/>
      <c r="J103" s="1122"/>
      <c r="K103" s="1122"/>
      <c r="L103" s="1122"/>
      <c r="M103" s="1122"/>
      <c r="N103" s="1061"/>
    </row>
    <row r="104" spans="1:14" s="1063" customFormat="1" ht="15.75" customHeight="1" hidden="1">
      <c r="A104" s="1188"/>
      <c r="B104" s="1187">
        <f t="shared" si="1"/>
        <v>19</v>
      </c>
      <c r="C104" s="1181">
        <v>0.902</v>
      </c>
      <c r="D104" s="1122"/>
      <c r="E104" s="1182">
        <f t="shared" si="2"/>
        <v>70</v>
      </c>
      <c r="F104" s="1183">
        <v>0.85</v>
      </c>
      <c r="G104" s="1122"/>
      <c r="H104" s="1122"/>
      <c r="I104" s="1122"/>
      <c r="J104" s="1122"/>
      <c r="K104" s="1122"/>
      <c r="L104" s="1122"/>
      <c r="M104" s="1122"/>
      <c r="N104" s="1061"/>
    </row>
    <row r="105" spans="1:14" s="1063" customFormat="1" ht="15.75" customHeight="1" hidden="1">
      <c r="A105" s="1188"/>
      <c r="B105" s="1187">
        <f t="shared" si="1"/>
        <v>20</v>
      </c>
      <c r="C105" s="1181">
        <v>0.878</v>
      </c>
      <c r="D105" s="1122"/>
      <c r="E105" s="1182">
        <f t="shared" si="2"/>
        <v>72</v>
      </c>
      <c r="F105" s="1183">
        <v>0.83</v>
      </c>
      <c r="G105" s="1122"/>
      <c r="H105" s="1122"/>
      <c r="I105" s="1122"/>
      <c r="J105" s="1122"/>
      <c r="K105" s="1122"/>
      <c r="L105" s="1122"/>
      <c r="M105" s="1122"/>
      <c r="N105" s="1061"/>
    </row>
    <row r="106" spans="1:14" s="1063" customFormat="1" ht="15.75" customHeight="1" hidden="1">
      <c r="A106" s="1188"/>
      <c r="B106" s="1187">
        <f t="shared" si="1"/>
        <v>21</v>
      </c>
      <c r="C106" s="1181">
        <v>0.854</v>
      </c>
      <c r="D106" s="1122"/>
      <c r="E106" s="1182">
        <f t="shared" si="2"/>
        <v>74</v>
      </c>
      <c r="F106" s="1183">
        <v>0.79</v>
      </c>
      <c r="G106" s="1122"/>
      <c r="H106" s="1122"/>
      <c r="I106" s="1122"/>
      <c r="J106" s="1122"/>
      <c r="K106" s="1122"/>
      <c r="L106" s="1122"/>
      <c r="M106" s="1122"/>
      <c r="N106" s="1061"/>
    </row>
    <row r="107" spans="1:14" s="1063" customFormat="1" ht="15.75" customHeight="1" hidden="1">
      <c r="A107" s="1188"/>
      <c r="B107" s="1187">
        <f t="shared" si="1"/>
        <v>22</v>
      </c>
      <c r="C107" s="1181">
        <v>0.829</v>
      </c>
      <c r="D107" s="1122"/>
      <c r="E107" s="1182">
        <f t="shared" si="2"/>
        <v>76</v>
      </c>
      <c r="F107" s="1183">
        <v>0.77</v>
      </c>
      <c r="G107" s="1122"/>
      <c r="H107" s="1122"/>
      <c r="I107" s="1122"/>
      <c r="J107" s="1122"/>
      <c r="K107" s="1122"/>
      <c r="L107" s="1122"/>
      <c r="M107" s="1122"/>
      <c r="N107" s="1061"/>
    </row>
    <row r="108" spans="1:14" s="1063" customFormat="1" ht="15.75" customHeight="1" hidden="1">
      <c r="A108" s="1188"/>
      <c r="B108" s="1187">
        <f t="shared" si="1"/>
        <v>23</v>
      </c>
      <c r="C108" s="1181">
        <v>0.804</v>
      </c>
      <c r="D108" s="1122"/>
      <c r="E108" s="1182">
        <f t="shared" si="2"/>
        <v>78</v>
      </c>
      <c r="F108" s="1183">
        <v>0.75</v>
      </c>
      <c r="G108" s="1122"/>
      <c r="H108" s="1122"/>
      <c r="I108" s="1122"/>
      <c r="J108" s="1122"/>
      <c r="K108" s="1122"/>
      <c r="L108" s="1122"/>
      <c r="M108" s="1122"/>
      <c r="N108" s="1061"/>
    </row>
    <row r="109" spans="1:14" s="1063" customFormat="1" ht="15.75" customHeight="1" hidden="1">
      <c r="A109" s="1188"/>
      <c r="B109" s="1187">
        <f t="shared" si="1"/>
        <v>24</v>
      </c>
      <c r="C109" s="1181">
        <v>0.781</v>
      </c>
      <c r="D109" s="1122"/>
      <c r="E109" s="1182">
        <f>E108+2</f>
        <v>80</v>
      </c>
      <c r="F109" s="1183">
        <v>0.73</v>
      </c>
      <c r="G109" s="1122"/>
      <c r="H109" s="1122"/>
      <c r="I109" s="1122"/>
      <c r="J109" s="1122"/>
      <c r="K109" s="1122"/>
      <c r="L109" s="1122"/>
      <c r="M109" s="1122"/>
      <c r="N109" s="1061"/>
    </row>
    <row r="110" spans="1:14" s="1063" customFormat="1" ht="15.75" customHeight="1" hidden="1">
      <c r="A110" s="1188"/>
      <c r="B110" s="1187">
        <f t="shared" si="1"/>
        <v>25</v>
      </c>
      <c r="C110" s="1181">
        <v>0.759</v>
      </c>
      <c r="D110" s="1122"/>
      <c r="E110" s="1182">
        <f>E109+2</f>
        <v>82</v>
      </c>
      <c r="F110" s="1183">
        <v>0.71</v>
      </c>
      <c r="G110" s="1122"/>
      <c r="H110" s="1122"/>
      <c r="I110" s="1122"/>
      <c r="J110" s="1122"/>
      <c r="K110" s="1122"/>
      <c r="L110" s="1122"/>
      <c r="M110" s="1122"/>
      <c r="N110" s="1061"/>
    </row>
    <row r="111" spans="1:14" s="1063" customFormat="1" ht="15.75" customHeight="1" hidden="1">
      <c r="A111" s="1188"/>
      <c r="B111" s="1187">
        <f t="shared" si="1"/>
        <v>26</v>
      </c>
      <c r="C111" s="1181">
        <v>0.738</v>
      </c>
      <c r="D111" s="1122"/>
      <c r="E111" s="1182">
        <f>E110+2</f>
        <v>84</v>
      </c>
      <c r="F111" s="1183">
        <v>0.69</v>
      </c>
      <c r="G111" s="1122"/>
      <c r="H111" s="1122"/>
      <c r="I111" s="1122"/>
      <c r="J111" s="1122"/>
      <c r="K111" s="1122"/>
      <c r="L111" s="1122"/>
      <c r="M111" s="1122"/>
      <c r="N111" s="1061"/>
    </row>
    <row r="112" spans="1:14" s="1063" customFormat="1" ht="15.75" customHeight="1" hidden="1">
      <c r="A112" s="1188"/>
      <c r="B112" s="1187">
        <f t="shared" si="1"/>
        <v>27</v>
      </c>
      <c r="C112" s="1181">
        <v>0.718</v>
      </c>
      <c r="D112" s="1122"/>
      <c r="E112" s="1182">
        <f>E111+2</f>
        <v>86</v>
      </c>
      <c r="F112" s="1183">
        <v>0.67</v>
      </c>
      <c r="G112" s="1122"/>
      <c r="H112" s="1122"/>
      <c r="I112" s="1122"/>
      <c r="J112" s="1122"/>
      <c r="K112" s="1122"/>
      <c r="L112" s="1122"/>
      <c r="M112" s="1122"/>
      <c r="N112" s="1061"/>
    </row>
    <row r="113" spans="1:14" s="1063" customFormat="1" ht="15.75" customHeight="1" hidden="1">
      <c r="A113" s="1188"/>
      <c r="B113" s="1187">
        <f t="shared" si="1"/>
        <v>28</v>
      </c>
      <c r="C113" s="1181">
        <v>0.699</v>
      </c>
      <c r="D113" s="1122"/>
      <c r="E113" s="1122"/>
      <c r="F113" s="1122"/>
      <c r="G113" s="1122"/>
      <c r="H113" s="1122"/>
      <c r="I113" s="1122"/>
      <c r="J113" s="1122"/>
      <c r="K113" s="1122"/>
      <c r="L113" s="1122"/>
      <c r="M113" s="1122"/>
      <c r="N113" s="1061"/>
    </row>
    <row r="114" spans="1:14" s="1063" customFormat="1" ht="15.75" customHeight="1" hidden="1">
      <c r="A114" s="1188"/>
      <c r="B114" s="1187">
        <f t="shared" si="1"/>
        <v>29</v>
      </c>
      <c r="C114" s="1181">
        <v>0.682</v>
      </c>
      <c r="D114" s="1122"/>
      <c r="E114" s="1122"/>
      <c r="F114" s="1122"/>
      <c r="G114" s="1122"/>
      <c r="H114" s="1122"/>
      <c r="I114" s="1122"/>
      <c r="J114" s="1122"/>
      <c r="K114" s="1122"/>
      <c r="L114" s="1122"/>
      <c r="M114" s="1122"/>
      <c r="N114" s="1061"/>
    </row>
    <row r="115" spans="1:14" s="1063" customFormat="1" ht="15.75" customHeight="1" hidden="1">
      <c r="A115" s="1188"/>
      <c r="B115" s="1187">
        <f t="shared" si="1"/>
        <v>30</v>
      </c>
      <c r="C115" s="1181">
        <v>0.665</v>
      </c>
      <c r="D115" s="1122"/>
      <c r="E115" s="1122"/>
      <c r="F115" s="1122"/>
      <c r="G115" s="1122"/>
      <c r="H115" s="1122"/>
      <c r="I115" s="1122"/>
      <c r="J115" s="1122"/>
      <c r="K115" s="1122"/>
      <c r="L115" s="1122"/>
      <c r="M115" s="1122"/>
      <c r="N115" s="1061"/>
    </row>
    <row r="116" spans="1:14" s="1063" customFormat="1" ht="12.75" customHeight="1">
      <c r="A116" s="1188"/>
      <c r="B116" s="1190"/>
      <c r="C116" s="1191"/>
      <c r="D116" s="1192"/>
      <c r="E116" s="1193"/>
      <c r="F116" s="1194"/>
      <c r="G116" s="1195"/>
      <c r="H116" s="2839"/>
      <c r="I116" s="2839"/>
      <c r="J116" s="2839"/>
      <c r="K116" s="2832" t="s">
        <v>991</v>
      </c>
      <c r="L116" s="2832"/>
      <c r="M116" s="2832"/>
      <c r="N116" s="463"/>
    </row>
    <row r="117" spans="1:14" s="1063" customFormat="1" ht="12.75" customHeight="1">
      <c r="A117" s="1188"/>
      <c r="B117" s="1152"/>
      <c r="C117" s="1152"/>
      <c r="D117" s="1157"/>
      <c r="E117" s="1152"/>
      <c r="F117" s="1152"/>
      <c r="G117" s="153"/>
      <c r="H117" s="2841" t="s">
        <v>12</v>
      </c>
      <c r="I117" s="2841"/>
      <c r="J117" s="2841"/>
      <c r="K117" s="2837" t="s">
        <v>319</v>
      </c>
      <c r="L117" s="2837"/>
      <c r="M117" s="2837"/>
      <c r="N117" s="463"/>
    </row>
    <row r="118" spans="1:14" s="1063" customFormat="1" ht="12.75" customHeight="1">
      <c r="A118" s="1188"/>
      <c r="B118" s="1152"/>
      <c r="C118" s="1152"/>
      <c r="D118" s="1157"/>
      <c r="E118" s="1152"/>
      <c r="F118" s="1151"/>
      <c r="G118" s="153"/>
      <c r="H118" s="2841" t="s">
        <v>380</v>
      </c>
      <c r="I118" s="2841"/>
      <c r="J118" s="2841"/>
      <c r="K118" s="2837" t="s">
        <v>381</v>
      </c>
      <c r="L118" s="2837"/>
      <c r="M118" s="2837"/>
      <c r="N118" s="463"/>
    </row>
    <row r="119" spans="1:14" s="1063" customFormat="1" ht="12.75" customHeight="1">
      <c r="A119" s="1188"/>
      <c r="B119" s="2840" t="s">
        <v>27</v>
      </c>
      <c r="C119" s="2840"/>
      <c r="D119" s="2840"/>
      <c r="E119" s="2840"/>
      <c r="F119" s="2840"/>
      <c r="G119" s="2840"/>
      <c r="H119" s="2841" t="s">
        <v>320</v>
      </c>
      <c r="I119" s="2841"/>
      <c r="J119" s="2841"/>
      <c r="K119" s="2831" t="s">
        <v>321</v>
      </c>
      <c r="L119" s="2831"/>
      <c r="M119" s="2831"/>
      <c r="N119" s="463"/>
    </row>
    <row r="120" spans="1:14" ht="13.5">
      <c r="A120" s="463"/>
      <c r="B120" s="463"/>
      <c r="C120" s="463"/>
      <c r="D120" s="463"/>
      <c r="E120" s="463"/>
      <c r="F120" s="463"/>
      <c r="G120" s="463"/>
      <c r="H120" s="463"/>
      <c r="I120" s="463"/>
      <c r="J120" s="107"/>
      <c r="K120" s="153"/>
      <c r="L120" s="1196"/>
      <c r="M120" s="1196"/>
      <c r="N120" s="463"/>
    </row>
  </sheetData>
  <sheetProtection password="FA80" sheet="1" objects="1" scenarios="1"/>
  <mergeCells count="54">
    <mergeCell ref="K117:M117"/>
    <mergeCell ref="B60:H60"/>
    <mergeCell ref="C69:H69"/>
    <mergeCell ref="L65:M65"/>
    <mergeCell ref="A68:E68"/>
    <mergeCell ref="H117:J117"/>
    <mergeCell ref="H118:J118"/>
    <mergeCell ref="B51:G51"/>
    <mergeCell ref="E52:G52"/>
    <mergeCell ref="A55:C55"/>
    <mergeCell ref="B58:H58"/>
    <mergeCell ref="A57:B57"/>
    <mergeCell ref="B61:H61"/>
    <mergeCell ref="B59:H59"/>
    <mergeCell ref="C18:E18"/>
    <mergeCell ref="F19:G19"/>
    <mergeCell ref="C47:C48"/>
    <mergeCell ref="C43:C44"/>
    <mergeCell ref="C26:E26"/>
    <mergeCell ref="D27:E27"/>
    <mergeCell ref="F27:G27"/>
    <mergeCell ref="F20:G20"/>
    <mergeCell ref="G35:H35"/>
    <mergeCell ref="B38:D38"/>
    <mergeCell ref="B119:G119"/>
    <mergeCell ref="H119:J119"/>
    <mergeCell ref="D12:E12"/>
    <mergeCell ref="F12:G12"/>
    <mergeCell ref="B42:D42"/>
    <mergeCell ref="E38:F38"/>
    <mergeCell ref="B34:D34"/>
    <mergeCell ref="A17:E17"/>
    <mergeCell ref="F28:G28"/>
    <mergeCell ref="A25:E25"/>
    <mergeCell ref="K2:M2"/>
    <mergeCell ref="K3:M3"/>
    <mergeCell ref="K4:L4"/>
    <mergeCell ref="K119:M119"/>
    <mergeCell ref="K116:M116"/>
    <mergeCell ref="J60:M63"/>
    <mergeCell ref="L73:M73"/>
    <mergeCell ref="K118:M118"/>
    <mergeCell ref="A76:M82"/>
    <mergeCell ref="H116:J116"/>
    <mergeCell ref="C10:E10"/>
    <mergeCell ref="D11:E11"/>
    <mergeCell ref="F11:G11"/>
    <mergeCell ref="A1:M1"/>
    <mergeCell ref="B7:H7"/>
    <mergeCell ref="A9:D9"/>
    <mergeCell ref="B5:H5"/>
    <mergeCell ref="A3:F3"/>
    <mergeCell ref="B4:F4"/>
    <mergeCell ref="A2:B2"/>
  </mergeCells>
  <hyperlinks>
    <hyperlink ref="K117" r:id="rId1" display="www.petespintpot.co.uk"/>
    <hyperlink ref="K118" r:id="rId2" display="www.colchesterhomebrew.co.uk"/>
    <hyperlink ref="K119" r:id="rId3" display="www.yobrew.co.uk"/>
    <hyperlink ref="K3" r:id="rId4" display="www.petespintpot.co.uk"/>
  </hyperlinks>
  <printOptions horizontalCentered="1"/>
  <pageMargins left="0.7480314960629921" right="0.7480314960629921" top="0.47" bottom="0.52" header="0.36" footer="0.4330708661417323"/>
  <pageSetup fitToHeight="1" fitToWidth="1" horizontalDpi="300" verticalDpi="300" orientation="portrait" paperSize="9" scale="61" r:id="rId6"/>
  <drawing r:id="rId5"/>
</worksheet>
</file>

<file path=xl/worksheets/sheet6.xml><?xml version="1.0" encoding="utf-8"?>
<worksheet xmlns="http://schemas.openxmlformats.org/spreadsheetml/2006/main" xmlns:r="http://schemas.openxmlformats.org/officeDocument/2006/relationships">
  <sheetPr>
    <tabColor indexed="35"/>
  </sheetPr>
  <dimension ref="A1:M146"/>
  <sheetViews>
    <sheetView zoomScale="75" zoomScaleNormal="75" zoomScaleSheetLayoutView="100" zoomScalePageLayoutView="0" workbookViewId="0" topLeftCell="A13">
      <selection activeCell="H16" sqref="H16"/>
    </sheetView>
  </sheetViews>
  <sheetFormatPr defaultColWidth="9.140625" defaultRowHeight="15"/>
  <cols>
    <col min="1" max="1" width="40.28125" style="1264" customWidth="1"/>
    <col min="2" max="2" width="10.140625" style="1264" customWidth="1"/>
    <col min="3" max="3" width="10.00390625" style="1264" customWidth="1"/>
    <col min="4" max="4" width="9.8515625" style="1264" customWidth="1"/>
    <col min="5" max="5" width="9.8515625" style="1265" customWidth="1"/>
    <col min="6" max="6" width="8.421875" style="1265" hidden="1" customWidth="1"/>
    <col min="7" max="8" width="5.421875" style="1264" customWidth="1"/>
    <col min="9" max="9" width="3.421875" style="1264" customWidth="1"/>
    <col min="10" max="10" width="5.28125" style="1266" customWidth="1"/>
    <col min="11" max="11" width="4.57421875" style="1266" customWidth="1"/>
    <col min="12" max="12" width="44.57421875" style="1264" customWidth="1"/>
    <col min="13" max="13" width="4.28125" style="1267" customWidth="1"/>
  </cols>
  <sheetData>
    <row r="1" spans="1:13" ht="18">
      <c r="A1" s="1268" t="s">
        <v>451</v>
      </c>
      <c r="B1" s="2179"/>
      <c r="C1" s="2179"/>
      <c r="D1" s="2872" t="s">
        <v>1176</v>
      </c>
      <c r="E1" s="2872"/>
      <c r="F1" s="2872"/>
      <c r="G1" s="2872"/>
      <c r="H1" s="2180"/>
      <c r="I1" s="2181"/>
      <c r="J1" s="2181"/>
      <c r="K1" s="2181"/>
      <c r="L1" s="2182" t="s">
        <v>568</v>
      </c>
      <c r="M1" s="1239"/>
    </row>
    <row r="2" spans="1:13" ht="15" customHeight="1">
      <c r="A2" s="1268"/>
      <c r="B2" s="2179"/>
      <c r="C2" s="2179"/>
      <c r="D2" s="2179"/>
      <c r="E2" s="2179"/>
      <c r="F2" s="2183"/>
      <c r="G2" s="2180"/>
      <c r="H2" s="2180"/>
      <c r="I2" s="2181"/>
      <c r="J2" s="2181"/>
      <c r="K2" s="2181"/>
      <c r="L2" s="2182"/>
      <c r="M2" s="1239"/>
    </row>
    <row r="3" spans="1:13" ht="15" customHeight="1">
      <c r="A3" s="1268"/>
      <c r="B3" s="2179"/>
      <c r="C3" s="2179"/>
      <c r="D3" s="2179"/>
      <c r="E3" s="2179"/>
      <c r="F3" s="2183"/>
      <c r="G3" s="2180"/>
      <c r="H3" s="2180"/>
      <c r="I3" s="2181"/>
      <c r="J3" s="2181"/>
      <c r="K3" s="2181"/>
      <c r="L3" s="2182"/>
      <c r="M3" s="1239"/>
    </row>
    <row r="4" spans="1:13" ht="15" customHeight="1">
      <c r="A4" s="1268"/>
      <c r="B4" s="2179"/>
      <c r="C4" s="2179"/>
      <c r="D4" s="2179"/>
      <c r="E4" s="2179"/>
      <c r="F4" s="2183"/>
      <c r="G4" s="2180"/>
      <c r="H4" s="2180"/>
      <c r="I4" s="2181"/>
      <c r="J4" s="2181"/>
      <c r="K4" s="2181"/>
      <c r="L4" s="2182"/>
      <c r="M4" s="1239"/>
    </row>
    <row r="5" spans="1:13" ht="15" customHeight="1">
      <c r="A5" s="1268"/>
      <c r="B5" s="2179"/>
      <c r="C5" s="2179"/>
      <c r="D5" s="2179"/>
      <c r="E5" s="2179"/>
      <c r="F5" s="2183"/>
      <c r="G5" s="2180"/>
      <c r="H5" s="2180"/>
      <c r="I5" s="2181"/>
      <c r="J5" s="2181"/>
      <c r="K5" s="2181"/>
      <c r="L5" s="2182"/>
      <c r="M5" s="1239"/>
    </row>
    <row r="6" spans="1:13" ht="15" customHeight="1">
      <c r="A6" s="1268"/>
      <c r="B6" s="2179"/>
      <c r="C6" s="2179"/>
      <c r="D6" s="2179"/>
      <c r="E6" s="2179"/>
      <c r="F6" s="2183"/>
      <c r="G6" s="2180"/>
      <c r="H6" s="2180"/>
      <c r="I6" s="2181"/>
      <c r="J6" s="2181"/>
      <c r="K6" s="2181"/>
      <c r="L6" s="2182"/>
      <c r="M6" s="1239"/>
    </row>
    <row r="7" spans="1:13" ht="15" customHeight="1">
      <c r="A7" s="1268"/>
      <c r="B7" s="2179"/>
      <c r="C7" s="2179"/>
      <c r="D7" s="2179"/>
      <c r="E7" s="2179"/>
      <c r="F7" s="2183"/>
      <c r="G7" s="2180"/>
      <c r="H7" s="2180"/>
      <c r="I7" s="2181"/>
      <c r="J7" s="2181"/>
      <c r="K7" s="2181"/>
      <c r="L7" s="2182"/>
      <c r="M7" s="1239"/>
    </row>
    <row r="8" spans="1:13" ht="15" customHeight="1">
      <c r="A8" s="1268"/>
      <c r="B8" s="2179"/>
      <c r="C8" s="2179"/>
      <c r="D8" s="2179"/>
      <c r="E8" s="2179"/>
      <c r="F8" s="2183"/>
      <c r="G8" s="2180"/>
      <c r="H8" s="2180"/>
      <c r="I8" s="2181"/>
      <c r="J8" s="2181"/>
      <c r="K8" s="2181"/>
      <c r="L8" s="2182"/>
      <c r="M8" s="1239"/>
    </row>
    <row r="9" spans="1:13" ht="15" customHeight="1">
      <c r="A9" s="1268"/>
      <c r="B9" s="2179"/>
      <c r="C9" s="2179"/>
      <c r="D9" s="2179"/>
      <c r="E9" s="2179"/>
      <c r="F9" s="2183"/>
      <c r="G9" s="2180"/>
      <c r="H9" s="2180"/>
      <c r="I9" s="2181"/>
      <c r="J9" s="2181"/>
      <c r="K9" s="2181"/>
      <c r="L9" s="2182"/>
      <c r="M9" s="1239"/>
    </row>
    <row r="10" spans="1:13" ht="15" customHeight="1">
      <c r="A10" s="1268"/>
      <c r="B10" s="2179"/>
      <c r="C10" s="2179"/>
      <c r="D10" s="2179"/>
      <c r="E10" s="2179"/>
      <c r="F10" s="2183"/>
      <c r="G10" s="2180"/>
      <c r="H10" s="2180"/>
      <c r="I10" s="2181"/>
      <c r="J10" s="2181"/>
      <c r="K10" s="2181"/>
      <c r="L10" s="2182"/>
      <c r="M10" s="1239"/>
    </row>
    <row r="11" spans="1:13" ht="15" customHeight="1">
      <c r="A11" s="1268"/>
      <c r="B11" s="2179"/>
      <c r="C11" s="2179"/>
      <c r="D11" s="2179"/>
      <c r="E11" s="2179"/>
      <c r="F11" s="2183"/>
      <c r="G11" s="2180"/>
      <c r="H11" s="2180"/>
      <c r="I11" s="2181"/>
      <c r="J11" s="2181"/>
      <c r="K11" s="2181"/>
      <c r="L11" s="2182"/>
      <c r="M11" s="1239"/>
    </row>
    <row r="12" spans="1:13" ht="15">
      <c r="A12" s="2184"/>
      <c r="B12" s="2184"/>
      <c r="C12" s="2184"/>
      <c r="D12" s="2184"/>
      <c r="E12" s="2185"/>
      <c r="F12" s="2185"/>
      <c r="G12" s="2184"/>
      <c r="H12" s="2184"/>
      <c r="I12" s="2184"/>
      <c r="J12" s="2874" t="s">
        <v>1177</v>
      </c>
      <c r="K12" s="2875"/>
      <c r="L12" s="2876"/>
      <c r="M12" s="1239"/>
    </row>
    <row r="13" spans="1:13" ht="18">
      <c r="A13" s="2186" t="s">
        <v>912</v>
      </c>
      <c r="B13" s="2187" t="s">
        <v>453</v>
      </c>
      <c r="C13" s="2187" t="s">
        <v>455</v>
      </c>
      <c r="D13" s="2187" t="s">
        <v>1178</v>
      </c>
      <c r="E13" s="2879" t="s">
        <v>1179</v>
      </c>
      <c r="F13" s="2188" t="s">
        <v>1180</v>
      </c>
      <c r="G13" s="2189" t="s">
        <v>1180</v>
      </c>
      <c r="H13" s="2180"/>
      <c r="I13" s="2181"/>
      <c r="J13" s="2877" t="s">
        <v>412</v>
      </c>
      <c r="K13" s="2878"/>
      <c r="L13" s="2190" t="s">
        <v>1181</v>
      </c>
      <c r="M13" s="1239"/>
    </row>
    <row r="14" spans="1:13" ht="18">
      <c r="A14" s="2181"/>
      <c r="B14" s="2181"/>
      <c r="C14" s="2181"/>
      <c r="D14" s="2181"/>
      <c r="E14" s="2880"/>
      <c r="F14" s="2191"/>
      <c r="G14" s="2181" t="s">
        <v>1182</v>
      </c>
      <c r="H14" s="2181" t="s">
        <v>1015</v>
      </c>
      <c r="I14" s="2181"/>
      <c r="J14" s="2192" t="s">
        <v>1182</v>
      </c>
      <c r="K14" s="2193" t="s">
        <v>1015</v>
      </c>
      <c r="L14" s="2194"/>
      <c r="M14" s="1239"/>
    </row>
    <row r="15" spans="1:13" ht="15">
      <c r="A15" s="1240" t="s">
        <v>1183</v>
      </c>
      <c r="B15" s="1241"/>
      <c r="C15" s="1241"/>
      <c r="D15" s="1241"/>
      <c r="E15" s="1242"/>
      <c r="F15" s="1242"/>
      <c r="G15" s="1241"/>
      <c r="H15" s="1241"/>
      <c r="I15" s="1241"/>
      <c r="J15" s="1243"/>
      <c r="K15" s="1244"/>
      <c r="L15" s="1245"/>
      <c r="M15" s="1239"/>
    </row>
    <row r="16" spans="1:13" ht="15">
      <c r="A16" s="1246" t="s">
        <v>1184</v>
      </c>
      <c r="B16" s="1241" t="s">
        <v>1185</v>
      </c>
      <c r="C16" s="1241" t="s">
        <v>1186</v>
      </c>
      <c r="D16" s="1241" t="s">
        <v>1187</v>
      </c>
      <c r="E16" s="1242" t="s">
        <v>1188</v>
      </c>
      <c r="F16" s="1242" t="s">
        <v>1189</v>
      </c>
      <c r="G16" s="1241">
        <v>2</v>
      </c>
      <c r="H16" s="1241">
        <v>3</v>
      </c>
      <c r="I16" s="1241"/>
      <c r="J16" s="1247">
        <f aca="true" t="shared" si="0" ref="J16:K20">G16/0.508</f>
        <v>3.937007874015748</v>
      </c>
      <c r="K16" s="1248">
        <f t="shared" si="0"/>
        <v>5.905511811023622</v>
      </c>
      <c r="L16" s="1249" t="s">
        <v>1190</v>
      </c>
      <c r="M16" s="1239"/>
    </row>
    <row r="17" spans="1:13" ht="15">
      <c r="A17" s="1246" t="s">
        <v>1191</v>
      </c>
      <c r="B17" s="1241" t="s">
        <v>1192</v>
      </c>
      <c r="C17" s="1241" t="s">
        <v>1193</v>
      </c>
      <c r="D17" s="1241" t="s">
        <v>1194</v>
      </c>
      <c r="E17" s="1242" t="s">
        <v>1195</v>
      </c>
      <c r="F17" s="1242" t="s">
        <v>1196</v>
      </c>
      <c r="G17" s="1241">
        <v>2</v>
      </c>
      <c r="H17" s="1241">
        <v>4</v>
      </c>
      <c r="I17" s="1241"/>
      <c r="J17" s="1247">
        <f t="shared" si="0"/>
        <v>3.937007874015748</v>
      </c>
      <c r="K17" s="1248">
        <f t="shared" si="0"/>
        <v>7.874015748031496</v>
      </c>
      <c r="L17" s="1249" t="s">
        <v>1197</v>
      </c>
      <c r="M17" s="1239"/>
    </row>
    <row r="18" spans="1:13" ht="15">
      <c r="A18" s="1246" t="s">
        <v>1198</v>
      </c>
      <c r="B18" s="1241" t="s">
        <v>1199</v>
      </c>
      <c r="C18" s="1241" t="s">
        <v>1200</v>
      </c>
      <c r="D18" s="1241" t="s">
        <v>1201</v>
      </c>
      <c r="E18" s="1242" t="s">
        <v>1202</v>
      </c>
      <c r="F18" s="1242" t="s">
        <v>1203</v>
      </c>
      <c r="G18" s="1241">
        <v>2</v>
      </c>
      <c r="H18" s="1241">
        <v>6</v>
      </c>
      <c r="I18" s="1241"/>
      <c r="J18" s="1247">
        <f t="shared" si="0"/>
        <v>3.937007874015748</v>
      </c>
      <c r="K18" s="1248">
        <f t="shared" si="0"/>
        <v>11.811023622047244</v>
      </c>
      <c r="L18" s="1249" t="s">
        <v>1197</v>
      </c>
      <c r="M18" s="1239"/>
    </row>
    <row r="19" spans="1:13" ht="15">
      <c r="A19" s="1246" t="s">
        <v>1204</v>
      </c>
      <c r="B19" s="1241" t="s">
        <v>1205</v>
      </c>
      <c r="C19" s="1241" t="s">
        <v>1200</v>
      </c>
      <c r="D19" s="1241" t="s">
        <v>1206</v>
      </c>
      <c r="E19" s="1242" t="s">
        <v>1207</v>
      </c>
      <c r="F19" s="1242" t="s">
        <v>1208</v>
      </c>
      <c r="G19" s="1241">
        <v>3</v>
      </c>
      <c r="H19" s="1241">
        <v>5</v>
      </c>
      <c r="I19" s="1241"/>
      <c r="J19" s="1247">
        <f t="shared" si="0"/>
        <v>5.905511811023622</v>
      </c>
      <c r="K19" s="1248">
        <f t="shared" si="0"/>
        <v>9.84251968503937</v>
      </c>
      <c r="L19" s="1249" t="s">
        <v>1209</v>
      </c>
      <c r="M19" s="1239"/>
    </row>
    <row r="20" spans="1:13" ht="15">
      <c r="A20" s="1246" t="s">
        <v>1210</v>
      </c>
      <c r="B20" s="1241" t="s">
        <v>1211</v>
      </c>
      <c r="C20" s="1241" t="s">
        <v>1212</v>
      </c>
      <c r="D20" s="1241" t="s">
        <v>1213</v>
      </c>
      <c r="E20" s="1242" t="s">
        <v>1214</v>
      </c>
      <c r="F20" s="1242" t="s">
        <v>1215</v>
      </c>
      <c r="G20" s="1241">
        <v>4</v>
      </c>
      <c r="H20" s="1241">
        <v>6</v>
      </c>
      <c r="I20" s="1241"/>
      <c r="J20" s="1247">
        <f t="shared" si="0"/>
        <v>7.874015748031496</v>
      </c>
      <c r="K20" s="1248">
        <f t="shared" si="0"/>
        <v>11.811023622047244</v>
      </c>
      <c r="L20" s="1249" t="s">
        <v>1197</v>
      </c>
      <c r="M20" s="1239"/>
    </row>
    <row r="21" spans="1:13" ht="15">
      <c r="A21" s="1246"/>
      <c r="B21" s="1241"/>
      <c r="C21" s="1241"/>
      <c r="D21" s="1241"/>
      <c r="E21" s="1242"/>
      <c r="F21" s="1242"/>
      <c r="G21" s="1241"/>
      <c r="H21" s="1241"/>
      <c r="I21" s="1241"/>
      <c r="J21" s="1243"/>
      <c r="K21" s="1244"/>
      <c r="L21" s="1245"/>
      <c r="M21" s="1239"/>
    </row>
    <row r="22" spans="1:13" ht="15">
      <c r="A22" s="1240" t="s">
        <v>1216</v>
      </c>
      <c r="B22" s="1241"/>
      <c r="C22" s="1241"/>
      <c r="D22" s="1241"/>
      <c r="E22" s="1242"/>
      <c r="F22" s="1242"/>
      <c r="G22" s="1241"/>
      <c r="H22" s="1241"/>
      <c r="I22" s="1241"/>
      <c r="J22" s="1243"/>
      <c r="K22" s="1244"/>
      <c r="L22" s="1245"/>
      <c r="M22" s="1239"/>
    </row>
    <row r="23" spans="1:13" ht="15">
      <c r="A23" s="1246" t="s">
        <v>1217</v>
      </c>
      <c r="B23" s="1241" t="s">
        <v>1218</v>
      </c>
      <c r="C23" s="1241" t="s">
        <v>1219</v>
      </c>
      <c r="D23" s="1241" t="s">
        <v>1220</v>
      </c>
      <c r="E23" s="1242" t="s">
        <v>1221</v>
      </c>
      <c r="F23" s="1242" t="s">
        <v>1222</v>
      </c>
      <c r="G23" s="1241">
        <v>2</v>
      </c>
      <c r="H23" s="1241">
        <v>5</v>
      </c>
      <c r="I23" s="1241"/>
      <c r="J23" s="1247">
        <f aca="true" t="shared" si="1" ref="J23:K25">G23/0.508</f>
        <v>3.937007874015748</v>
      </c>
      <c r="K23" s="1248">
        <f t="shared" si="1"/>
        <v>9.84251968503937</v>
      </c>
      <c r="L23" s="1250" t="s">
        <v>1223</v>
      </c>
      <c r="M23" s="1239"/>
    </row>
    <row r="24" spans="1:13" ht="15">
      <c r="A24" s="1246" t="s">
        <v>1224</v>
      </c>
      <c r="B24" s="1241" t="s">
        <v>1225</v>
      </c>
      <c r="C24" s="1241" t="s">
        <v>1226</v>
      </c>
      <c r="D24" s="1241" t="s">
        <v>1227</v>
      </c>
      <c r="E24" s="1242" t="s">
        <v>1228</v>
      </c>
      <c r="F24" s="1242" t="s">
        <v>1229</v>
      </c>
      <c r="G24" s="1241">
        <v>3.5</v>
      </c>
      <c r="H24" s="1241">
        <v>6</v>
      </c>
      <c r="I24" s="1241"/>
      <c r="J24" s="1247">
        <f t="shared" si="1"/>
        <v>6.889763779527559</v>
      </c>
      <c r="K24" s="1248">
        <f t="shared" si="1"/>
        <v>11.811023622047244</v>
      </c>
      <c r="L24" s="1245" t="s">
        <v>427</v>
      </c>
      <c r="M24" s="1239"/>
    </row>
    <row r="25" spans="1:13" ht="15">
      <c r="A25" s="1246" t="s">
        <v>1230</v>
      </c>
      <c r="B25" s="1241" t="s">
        <v>1231</v>
      </c>
      <c r="C25" s="1241" t="s">
        <v>1212</v>
      </c>
      <c r="D25" s="1241" t="s">
        <v>1232</v>
      </c>
      <c r="E25" s="1242" t="s">
        <v>1233</v>
      </c>
      <c r="F25" s="1242" t="s">
        <v>1234</v>
      </c>
      <c r="G25" s="1241">
        <v>3</v>
      </c>
      <c r="H25" s="1241">
        <v>6</v>
      </c>
      <c r="I25" s="1241"/>
      <c r="J25" s="1247">
        <f t="shared" si="1"/>
        <v>5.905511811023622</v>
      </c>
      <c r="K25" s="1248">
        <f t="shared" si="1"/>
        <v>11.811023622047244</v>
      </c>
      <c r="L25" s="1245" t="s">
        <v>1235</v>
      </c>
      <c r="M25" s="1239"/>
    </row>
    <row r="26" spans="1:13" ht="15">
      <c r="A26" s="1246"/>
      <c r="B26" s="1241"/>
      <c r="C26" s="1241"/>
      <c r="D26" s="1241"/>
      <c r="E26" s="1242"/>
      <c r="F26" s="1242"/>
      <c r="G26" s="1241"/>
      <c r="H26" s="1241"/>
      <c r="I26" s="1241"/>
      <c r="J26" s="1243"/>
      <c r="K26" s="1244"/>
      <c r="L26" s="1245"/>
      <c r="M26" s="1239"/>
    </row>
    <row r="27" spans="1:13" ht="15">
      <c r="A27" s="1240" t="s">
        <v>1236</v>
      </c>
      <c r="B27" s="1241"/>
      <c r="C27" s="1241"/>
      <c r="D27" s="1241"/>
      <c r="E27" s="1242"/>
      <c r="F27" s="1242"/>
      <c r="G27" s="1241"/>
      <c r="H27" s="1241"/>
      <c r="I27" s="1241"/>
      <c r="J27" s="1243"/>
      <c r="K27" s="1244"/>
      <c r="L27" s="1245"/>
      <c r="M27" s="1239"/>
    </row>
    <row r="28" spans="1:13" ht="15">
      <c r="A28" s="1246" t="s">
        <v>1237</v>
      </c>
      <c r="B28" s="1241" t="s">
        <v>1238</v>
      </c>
      <c r="C28" s="1241" t="s">
        <v>1239</v>
      </c>
      <c r="D28" s="1241" t="s">
        <v>1240</v>
      </c>
      <c r="E28" s="1242" t="s">
        <v>1241</v>
      </c>
      <c r="F28" s="1242" t="s">
        <v>1242</v>
      </c>
      <c r="G28" s="1241">
        <v>10</v>
      </c>
      <c r="H28" s="1241">
        <v>16</v>
      </c>
      <c r="I28" s="1241"/>
      <c r="J28" s="1247">
        <f>G28/0.508</f>
        <v>19.68503937007874</v>
      </c>
      <c r="K28" s="1248">
        <f>H28/0.508</f>
        <v>31.496062992125985</v>
      </c>
      <c r="L28" s="1249" t="s">
        <v>1197</v>
      </c>
      <c r="M28" s="1239"/>
    </row>
    <row r="29" spans="1:13" ht="15">
      <c r="A29" s="1246" t="s">
        <v>1243</v>
      </c>
      <c r="B29" s="1241" t="s">
        <v>1244</v>
      </c>
      <c r="C29" s="1241" t="s">
        <v>1245</v>
      </c>
      <c r="D29" s="1241" t="s">
        <v>1246</v>
      </c>
      <c r="E29" s="1242" t="s">
        <v>1247</v>
      </c>
      <c r="F29" s="1242" t="s">
        <v>1248</v>
      </c>
      <c r="G29" s="1241">
        <v>7</v>
      </c>
      <c r="H29" s="1241">
        <v>14</v>
      </c>
      <c r="I29" s="1241"/>
      <c r="J29" s="1247">
        <f>G29/0.508</f>
        <v>13.779527559055119</v>
      </c>
      <c r="K29" s="1248">
        <f>H29/0.508</f>
        <v>27.559055118110237</v>
      </c>
      <c r="L29" s="1245" t="s">
        <v>1249</v>
      </c>
      <c r="M29" s="1239"/>
    </row>
    <row r="30" spans="1:13" ht="15">
      <c r="A30" s="1246"/>
      <c r="B30" s="1241"/>
      <c r="C30" s="1241"/>
      <c r="D30" s="1241"/>
      <c r="E30" s="1242"/>
      <c r="F30" s="1242"/>
      <c r="G30" s="1241"/>
      <c r="H30" s="1241"/>
      <c r="I30" s="1241"/>
      <c r="J30" s="1243"/>
      <c r="K30" s="1244"/>
      <c r="L30" s="1245"/>
      <c r="M30" s="1239"/>
    </row>
    <row r="31" spans="1:13" ht="15">
      <c r="A31" s="1240" t="s">
        <v>1250</v>
      </c>
      <c r="B31" s="1241"/>
      <c r="C31" s="1241"/>
      <c r="D31" s="1241"/>
      <c r="E31" s="1242"/>
      <c r="F31" s="1242"/>
      <c r="G31" s="1241"/>
      <c r="H31" s="1241"/>
      <c r="I31" s="1241"/>
      <c r="J31" s="1243"/>
      <c r="K31" s="1244"/>
      <c r="L31" s="1245"/>
      <c r="M31" s="1239"/>
    </row>
    <row r="32" spans="1:13" ht="15">
      <c r="A32" s="1246" t="s">
        <v>1251</v>
      </c>
      <c r="B32" s="1241" t="s">
        <v>1225</v>
      </c>
      <c r="C32" s="1241" t="s">
        <v>1200</v>
      </c>
      <c r="D32" s="1241" t="s">
        <v>1252</v>
      </c>
      <c r="E32" s="1242" t="s">
        <v>1253</v>
      </c>
      <c r="F32" s="1242" t="s">
        <v>1254</v>
      </c>
      <c r="G32" s="1241">
        <v>14</v>
      </c>
      <c r="H32" s="1241">
        <v>22</v>
      </c>
      <c r="I32" s="1241"/>
      <c r="J32" s="1247">
        <f>G32/0.508</f>
        <v>27.559055118110237</v>
      </c>
      <c r="K32" s="1248">
        <f>H32/0.508</f>
        <v>43.30708661417323</v>
      </c>
      <c r="L32" s="1249" t="s">
        <v>1197</v>
      </c>
      <c r="M32" s="1239"/>
    </row>
    <row r="33" spans="1:13" ht="15">
      <c r="A33" s="1246" t="s">
        <v>1255</v>
      </c>
      <c r="B33" s="1241" t="s">
        <v>1211</v>
      </c>
      <c r="C33" s="1241" t="s">
        <v>1256</v>
      </c>
      <c r="D33" s="1241" t="s">
        <v>1257</v>
      </c>
      <c r="E33" s="1242" t="s">
        <v>1258</v>
      </c>
      <c r="F33" s="1242" t="s">
        <v>1259</v>
      </c>
      <c r="G33" s="1241">
        <v>14</v>
      </c>
      <c r="H33" s="1241">
        <v>28</v>
      </c>
      <c r="I33" s="1241"/>
      <c r="J33" s="1247">
        <f>G33/0.508</f>
        <v>27.559055118110237</v>
      </c>
      <c r="K33" s="1248">
        <f>H33/0.508</f>
        <v>55.118110236220474</v>
      </c>
      <c r="L33" s="1245" t="s">
        <v>1263</v>
      </c>
      <c r="M33" s="1239"/>
    </row>
    <row r="34" spans="1:13" ht="15">
      <c r="A34" s="1246" t="s">
        <v>1264</v>
      </c>
      <c r="B34" s="1241" t="s">
        <v>1238</v>
      </c>
      <c r="C34" s="1241" t="s">
        <v>1256</v>
      </c>
      <c r="D34" s="1241" t="s">
        <v>1265</v>
      </c>
      <c r="E34" s="1242" t="s">
        <v>1266</v>
      </c>
      <c r="F34" s="1242" t="s">
        <v>1267</v>
      </c>
      <c r="G34" s="1241">
        <v>17</v>
      </c>
      <c r="H34" s="1241">
        <v>30</v>
      </c>
      <c r="I34" s="1241"/>
      <c r="J34" s="1247">
        <f>G34/0.508</f>
        <v>33.46456692913386</v>
      </c>
      <c r="K34" s="1248" t="s">
        <v>1268</v>
      </c>
      <c r="L34" s="1245"/>
      <c r="M34" s="1239"/>
    </row>
    <row r="35" spans="1:13" ht="15">
      <c r="A35" s="1246"/>
      <c r="B35" s="1241"/>
      <c r="C35" s="1241"/>
      <c r="D35" s="1241"/>
      <c r="E35" s="1242"/>
      <c r="F35" s="1242"/>
      <c r="G35" s="1241"/>
      <c r="H35" s="1241"/>
      <c r="I35" s="1241"/>
      <c r="J35" s="1243"/>
      <c r="K35" s="1244"/>
      <c r="L35" s="1245"/>
      <c r="M35" s="1239"/>
    </row>
    <row r="36" spans="1:13" ht="15">
      <c r="A36" s="1240" t="s">
        <v>1269</v>
      </c>
      <c r="B36" s="1241"/>
      <c r="C36" s="1241"/>
      <c r="D36" s="1241"/>
      <c r="E36" s="1242"/>
      <c r="F36" s="1242"/>
      <c r="G36" s="1241"/>
      <c r="H36" s="1241"/>
      <c r="I36" s="1241"/>
      <c r="J36" s="1243"/>
      <c r="K36" s="1244"/>
      <c r="L36" s="1245"/>
      <c r="M36" s="1239"/>
    </row>
    <row r="37" spans="1:13" ht="15">
      <c r="A37" s="1246" t="s">
        <v>1270</v>
      </c>
      <c r="B37" s="1241" t="s">
        <v>1271</v>
      </c>
      <c r="C37" s="1241" t="s">
        <v>1272</v>
      </c>
      <c r="D37" s="1241" t="s">
        <v>1273</v>
      </c>
      <c r="E37" s="1242" t="s">
        <v>1274</v>
      </c>
      <c r="F37" s="1242" t="s">
        <v>1275</v>
      </c>
      <c r="G37" s="1241">
        <v>6</v>
      </c>
      <c r="H37" s="1241">
        <v>11</v>
      </c>
      <c r="I37" s="1241"/>
      <c r="J37" s="1247">
        <f aca="true" t="shared" si="2" ref="J37:K39">G37/0.508</f>
        <v>11.811023622047244</v>
      </c>
      <c r="K37" s="1248">
        <f t="shared" si="2"/>
        <v>21.653543307086615</v>
      </c>
      <c r="L37" s="1249" t="s">
        <v>1094</v>
      </c>
      <c r="M37" s="1239"/>
    </row>
    <row r="38" spans="1:13" ht="15">
      <c r="A38" s="1246" t="s">
        <v>1276</v>
      </c>
      <c r="B38" s="1241" t="s">
        <v>1271</v>
      </c>
      <c r="C38" s="1241" t="s">
        <v>1277</v>
      </c>
      <c r="D38" s="1241" t="s">
        <v>1278</v>
      </c>
      <c r="E38" s="1242" t="s">
        <v>1279</v>
      </c>
      <c r="F38" s="1242" t="s">
        <v>1254</v>
      </c>
      <c r="G38" s="1241">
        <v>14</v>
      </c>
      <c r="H38" s="1241">
        <v>22</v>
      </c>
      <c r="I38" s="1241"/>
      <c r="J38" s="1247">
        <f t="shared" si="2"/>
        <v>27.559055118110237</v>
      </c>
      <c r="K38" s="1248">
        <f t="shared" si="2"/>
        <v>43.30708661417323</v>
      </c>
      <c r="L38" s="1245"/>
      <c r="M38" s="1239"/>
    </row>
    <row r="39" spans="1:13" ht="15">
      <c r="A39" s="1246" t="s">
        <v>1280</v>
      </c>
      <c r="B39" s="1241" t="s">
        <v>1281</v>
      </c>
      <c r="C39" s="1241" t="s">
        <v>1282</v>
      </c>
      <c r="D39" s="1241" t="s">
        <v>1283</v>
      </c>
      <c r="E39" s="1242" t="s">
        <v>1284</v>
      </c>
      <c r="F39" s="1242" t="s">
        <v>1285</v>
      </c>
      <c r="G39" s="1241">
        <v>6</v>
      </c>
      <c r="H39" s="1241">
        <v>25</v>
      </c>
      <c r="I39" s="1241"/>
      <c r="J39" s="1247">
        <f t="shared" si="2"/>
        <v>11.811023622047244</v>
      </c>
      <c r="K39" s="1248">
        <f t="shared" si="2"/>
        <v>49.21259842519685</v>
      </c>
      <c r="L39" s="1245"/>
      <c r="M39" s="1239"/>
    </row>
    <row r="40" spans="1:13" ht="15">
      <c r="A40" s="1246" t="s">
        <v>1286</v>
      </c>
      <c r="B40" s="1241" t="s">
        <v>1287</v>
      </c>
      <c r="C40" s="1241" t="s">
        <v>1288</v>
      </c>
      <c r="D40" s="1241" t="s">
        <v>1289</v>
      </c>
      <c r="E40" s="1242" t="s">
        <v>1290</v>
      </c>
      <c r="F40" s="1242" t="s">
        <v>1291</v>
      </c>
      <c r="G40" s="1241">
        <v>18</v>
      </c>
      <c r="H40" s="1241">
        <v>30</v>
      </c>
      <c r="I40" s="1241"/>
      <c r="J40" s="1247">
        <f>G40/0.508</f>
        <v>35.43307086614173</v>
      </c>
      <c r="K40" s="1248" t="s">
        <v>1268</v>
      </c>
      <c r="L40" s="1245"/>
      <c r="M40" s="1239"/>
    </row>
    <row r="41" spans="1:13" ht="15">
      <c r="A41" s="1246"/>
      <c r="B41" s="1241"/>
      <c r="C41" s="1241"/>
      <c r="D41" s="1241"/>
      <c r="E41" s="1242"/>
      <c r="F41" s="1242"/>
      <c r="G41" s="1241"/>
      <c r="H41" s="1241"/>
      <c r="I41" s="1241"/>
      <c r="J41" s="1243"/>
      <c r="K41" s="1244"/>
      <c r="L41" s="1245"/>
      <c r="M41" s="1239"/>
    </row>
    <row r="42" spans="1:13" ht="15">
      <c r="A42" s="1240" t="s">
        <v>1292</v>
      </c>
      <c r="B42" s="1241"/>
      <c r="C42" s="1241"/>
      <c r="D42" s="1241"/>
      <c r="E42" s="1242"/>
      <c r="F42" s="1242"/>
      <c r="G42" s="1241"/>
      <c r="H42" s="1241"/>
      <c r="I42" s="1241"/>
      <c r="J42" s="1243"/>
      <c r="K42" s="1244"/>
      <c r="L42" s="1245"/>
      <c r="M42" s="1239"/>
    </row>
    <row r="43" spans="1:13" ht="15">
      <c r="A43" s="1246" t="s">
        <v>1293</v>
      </c>
      <c r="B43" s="1241" t="s">
        <v>1294</v>
      </c>
      <c r="C43" s="1241" t="s">
        <v>1295</v>
      </c>
      <c r="D43" s="1241" t="s">
        <v>1296</v>
      </c>
      <c r="E43" s="1242" t="s">
        <v>1297</v>
      </c>
      <c r="F43" s="1242" t="s">
        <v>1298</v>
      </c>
      <c r="G43" s="1241">
        <v>2.5</v>
      </c>
      <c r="H43" s="1241">
        <v>5</v>
      </c>
      <c r="I43" s="1241"/>
      <c r="J43" s="1247">
        <f aca="true" t="shared" si="3" ref="J43:K46">G43/0.508</f>
        <v>4.921259842519685</v>
      </c>
      <c r="K43" s="1248">
        <f t="shared" si="3"/>
        <v>9.84251968503937</v>
      </c>
      <c r="L43" s="1245"/>
      <c r="M43" s="1239"/>
    </row>
    <row r="44" spans="1:13" ht="15">
      <c r="A44" s="1246" t="s">
        <v>1299</v>
      </c>
      <c r="B44" s="1241" t="s">
        <v>1300</v>
      </c>
      <c r="C44" s="1241" t="s">
        <v>1219</v>
      </c>
      <c r="D44" s="1241" t="s">
        <v>1301</v>
      </c>
      <c r="E44" s="1242" t="s">
        <v>1302</v>
      </c>
      <c r="F44" s="1242" t="s">
        <v>1234</v>
      </c>
      <c r="G44" s="1241">
        <v>3</v>
      </c>
      <c r="H44" s="1241">
        <v>6</v>
      </c>
      <c r="I44" s="1241"/>
      <c r="J44" s="1247">
        <f t="shared" si="3"/>
        <v>5.905511811023622</v>
      </c>
      <c r="K44" s="1248">
        <f t="shared" si="3"/>
        <v>11.811023622047244</v>
      </c>
      <c r="L44" s="1245"/>
      <c r="M44" s="1239"/>
    </row>
    <row r="45" spans="1:13" ht="15">
      <c r="A45" s="1246" t="s">
        <v>1303</v>
      </c>
      <c r="B45" s="1241" t="s">
        <v>1218</v>
      </c>
      <c r="C45" s="1241" t="s">
        <v>1304</v>
      </c>
      <c r="D45" s="1241" t="s">
        <v>1220</v>
      </c>
      <c r="E45" s="1242" t="s">
        <v>1305</v>
      </c>
      <c r="F45" s="1242" t="s">
        <v>1306</v>
      </c>
      <c r="G45" s="1241">
        <v>3.5</v>
      </c>
      <c r="H45" s="1241">
        <v>5</v>
      </c>
      <c r="I45" s="1241"/>
      <c r="J45" s="1247">
        <f t="shared" si="3"/>
        <v>6.889763779527559</v>
      </c>
      <c r="K45" s="1248">
        <f t="shared" si="3"/>
        <v>9.84251968503937</v>
      </c>
      <c r="L45" s="1245" t="s">
        <v>1307</v>
      </c>
      <c r="M45" s="1239"/>
    </row>
    <row r="46" spans="1:13" ht="15">
      <c r="A46" s="1246" t="s">
        <v>1308</v>
      </c>
      <c r="B46" s="1241" t="s">
        <v>1309</v>
      </c>
      <c r="C46" s="1241" t="s">
        <v>1219</v>
      </c>
      <c r="D46" s="1241" t="s">
        <v>1310</v>
      </c>
      <c r="E46" s="1242" t="s">
        <v>1311</v>
      </c>
      <c r="F46" s="1242" t="s">
        <v>1234</v>
      </c>
      <c r="G46" s="1241">
        <v>3</v>
      </c>
      <c r="H46" s="1241">
        <v>6</v>
      </c>
      <c r="I46" s="1241"/>
      <c r="J46" s="1247">
        <f t="shared" si="3"/>
        <v>5.905511811023622</v>
      </c>
      <c r="K46" s="1248">
        <f t="shared" si="3"/>
        <v>11.811023622047244</v>
      </c>
      <c r="L46" s="1245"/>
      <c r="M46" s="1239"/>
    </row>
    <row r="47" spans="1:13" ht="15">
      <c r="A47" s="1246"/>
      <c r="B47" s="1241"/>
      <c r="C47" s="1241"/>
      <c r="D47" s="1241"/>
      <c r="E47" s="1242"/>
      <c r="F47" s="1242"/>
      <c r="G47" s="1241"/>
      <c r="H47" s="1241"/>
      <c r="I47" s="1241"/>
      <c r="J47" s="1243"/>
      <c r="K47" s="1244"/>
      <c r="L47" s="1245"/>
      <c r="M47" s="1239"/>
    </row>
    <row r="48" spans="1:13" ht="15">
      <c r="A48" s="1240" t="s">
        <v>1312</v>
      </c>
      <c r="B48" s="1241"/>
      <c r="C48" s="1241"/>
      <c r="D48" s="1241"/>
      <c r="E48" s="1242"/>
      <c r="F48" s="1242"/>
      <c r="G48" s="1241"/>
      <c r="H48" s="1241"/>
      <c r="I48" s="1241"/>
      <c r="J48" s="1243"/>
      <c r="K48" s="1244"/>
      <c r="L48" s="1245"/>
      <c r="M48" s="1239"/>
    </row>
    <row r="49" spans="1:13" ht="15">
      <c r="A49" s="1246" t="s">
        <v>1313</v>
      </c>
      <c r="B49" s="1241" t="s">
        <v>1314</v>
      </c>
      <c r="C49" s="1241" t="s">
        <v>1212</v>
      </c>
      <c r="D49" s="1241" t="s">
        <v>1315</v>
      </c>
      <c r="E49" s="1242" t="s">
        <v>1233</v>
      </c>
      <c r="F49" s="1242" t="s">
        <v>1316</v>
      </c>
      <c r="G49" s="1241">
        <v>13</v>
      </c>
      <c r="H49" s="1241">
        <v>19</v>
      </c>
      <c r="I49" s="1241"/>
      <c r="J49" s="1247">
        <f aca="true" t="shared" si="4" ref="J49:K51">G49/0.508</f>
        <v>25.590551181102363</v>
      </c>
      <c r="K49" s="1248">
        <f t="shared" si="4"/>
        <v>37.40157480314961</v>
      </c>
      <c r="L49" s="1245"/>
      <c r="M49" s="1239"/>
    </row>
    <row r="50" spans="1:13" ht="15">
      <c r="A50" s="1246" t="s">
        <v>1317</v>
      </c>
      <c r="B50" s="1241" t="s">
        <v>1318</v>
      </c>
      <c r="C50" s="1241" t="s">
        <v>1319</v>
      </c>
      <c r="D50" s="1241" t="s">
        <v>1320</v>
      </c>
      <c r="E50" s="1242" t="s">
        <v>1321</v>
      </c>
      <c r="F50" s="1242" t="s">
        <v>1322</v>
      </c>
      <c r="G50" s="1241">
        <v>10</v>
      </c>
      <c r="H50" s="1241">
        <v>14</v>
      </c>
      <c r="I50" s="1241"/>
      <c r="J50" s="1247">
        <f t="shared" si="4"/>
        <v>19.68503937007874</v>
      </c>
      <c r="K50" s="1248">
        <f t="shared" si="4"/>
        <v>27.559055118110237</v>
      </c>
      <c r="L50" s="1245"/>
      <c r="M50" s="1239"/>
    </row>
    <row r="51" spans="1:13" ht="15">
      <c r="A51" s="1246" t="s">
        <v>1323</v>
      </c>
      <c r="B51" s="1241" t="s">
        <v>1314</v>
      </c>
      <c r="C51" s="1241" t="s">
        <v>1212</v>
      </c>
      <c r="D51" s="1241" t="s">
        <v>1315</v>
      </c>
      <c r="E51" s="1242" t="s">
        <v>1324</v>
      </c>
      <c r="F51" s="1242" t="s">
        <v>1325</v>
      </c>
      <c r="G51" s="1241">
        <v>13</v>
      </c>
      <c r="H51" s="1241">
        <v>17</v>
      </c>
      <c r="I51" s="1241"/>
      <c r="J51" s="1247">
        <f t="shared" si="4"/>
        <v>25.590551181102363</v>
      </c>
      <c r="K51" s="1248">
        <f t="shared" si="4"/>
        <v>33.46456692913386</v>
      </c>
      <c r="L51" s="1245" t="s">
        <v>1326</v>
      </c>
      <c r="M51" s="1239"/>
    </row>
    <row r="52" spans="1:13" ht="15">
      <c r="A52" s="1246"/>
      <c r="B52" s="1241"/>
      <c r="C52" s="1241"/>
      <c r="D52" s="1241"/>
      <c r="E52" s="1242"/>
      <c r="F52" s="1242"/>
      <c r="G52" s="1241"/>
      <c r="H52" s="1241"/>
      <c r="I52" s="1241"/>
      <c r="J52" s="1243"/>
      <c r="K52" s="1244"/>
      <c r="L52" s="1245"/>
      <c r="M52" s="1239"/>
    </row>
    <row r="53" spans="1:13" ht="15">
      <c r="A53" s="1240" t="s">
        <v>1327</v>
      </c>
      <c r="B53" s="1241"/>
      <c r="C53" s="1241"/>
      <c r="D53" s="1241"/>
      <c r="E53" s="1242"/>
      <c r="F53" s="1242"/>
      <c r="G53" s="1241"/>
      <c r="H53" s="1241"/>
      <c r="I53" s="1241"/>
      <c r="J53" s="1243"/>
      <c r="K53" s="1244"/>
      <c r="L53" s="1245"/>
      <c r="M53" s="1239"/>
    </row>
    <row r="54" spans="1:13" ht="15">
      <c r="A54" s="1246" t="s">
        <v>1328</v>
      </c>
      <c r="B54" s="1241" t="s">
        <v>1329</v>
      </c>
      <c r="C54" s="1241" t="s">
        <v>1304</v>
      </c>
      <c r="D54" s="1241" t="s">
        <v>1330</v>
      </c>
      <c r="E54" s="1242" t="s">
        <v>1331</v>
      </c>
      <c r="F54" s="1242" t="s">
        <v>1332</v>
      </c>
      <c r="G54" s="1241">
        <v>4</v>
      </c>
      <c r="H54" s="1241">
        <v>14</v>
      </c>
      <c r="I54" s="1241"/>
      <c r="J54" s="1247">
        <f aca="true" t="shared" si="5" ref="J54:K56">G54/0.508</f>
        <v>7.874015748031496</v>
      </c>
      <c r="K54" s="1248">
        <f t="shared" si="5"/>
        <v>27.559055118110237</v>
      </c>
      <c r="L54" s="1249" t="s">
        <v>1335</v>
      </c>
      <c r="M54" s="1239"/>
    </row>
    <row r="55" spans="1:13" ht="15">
      <c r="A55" s="1246" t="s">
        <v>1336</v>
      </c>
      <c r="B55" s="1241" t="s">
        <v>1337</v>
      </c>
      <c r="C55" s="1241" t="s">
        <v>1200</v>
      </c>
      <c r="D55" s="1241" t="s">
        <v>1338</v>
      </c>
      <c r="E55" s="1242" t="s">
        <v>1233</v>
      </c>
      <c r="F55" s="1242" t="s">
        <v>1339</v>
      </c>
      <c r="G55" s="1241">
        <v>5</v>
      </c>
      <c r="H55" s="1241">
        <v>16</v>
      </c>
      <c r="I55" s="1241"/>
      <c r="J55" s="1247">
        <f t="shared" si="5"/>
        <v>9.84251968503937</v>
      </c>
      <c r="K55" s="1248">
        <f t="shared" si="5"/>
        <v>31.496062992125985</v>
      </c>
      <c r="L55" s="1245"/>
      <c r="M55" s="1239"/>
    </row>
    <row r="56" spans="1:13" ht="15">
      <c r="A56" s="1246" t="s">
        <v>1340</v>
      </c>
      <c r="B56" s="1241" t="s">
        <v>1341</v>
      </c>
      <c r="C56" s="1241" t="s">
        <v>1256</v>
      </c>
      <c r="D56" s="1241" t="s">
        <v>1342</v>
      </c>
      <c r="E56" s="1242" t="s">
        <v>1343</v>
      </c>
      <c r="F56" s="1242" t="s">
        <v>1344</v>
      </c>
      <c r="G56" s="1241">
        <v>6</v>
      </c>
      <c r="H56" s="1241">
        <v>18</v>
      </c>
      <c r="I56" s="1241"/>
      <c r="J56" s="1247">
        <f t="shared" si="5"/>
        <v>11.811023622047244</v>
      </c>
      <c r="K56" s="1248">
        <f t="shared" si="5"/>
        <v>35.43307086614173</v>
      </c>
      <c r="L56" s="1245"/>
      <c r="M56" s="1239"/>
    </row>
    <row r="57" spans="1:13" ht="15">
      <c r="A57" s="1246"/>
      <c r="B57" s="1241"/>
      <c r="C57" s="1241"/>
      <c r="D57" s="1241"/>
      <c r="E57" s="1242"/>
      <c r="F57" s="1242"/>
      <c r="G57" s="1241"/>
      <c r="H57" s="1241"/>
      <c r="I57" s="1241"/>
      <c r="J57" s="1243"/>
      <c r="K57" s="1244"/>
      <c r="L57" s="1245"/>
      <c r="M57" s="1239"/>
    </row>
    <row r="58" spans="1:13" ht="15">
      <c r="A58" s="1240" t="s">
        <v>1345</v>
      </c>
      <c r="B58" s="1241"/>
      <c r="C58" s="1241"/>
      <c r="D58" s="1241"/>
      <c r="E58" s="1242"/>
      <c r="F58" s="1242"/>
      <c r="G58" s="1241"/>
      <c r="H58" s="1241"/>
      <c r="I58" s="1241"/>
      <c r="J58" s="1243"/>
      <c r="K58" s="1244"/>
      <c r="L58" s="1245"/>
      <c r="M58" s="1239"/>
    </row>
    <row r="59" spans="1:13" ht="15">
      <c r="A59" s="1246" t="s">
        <v>1346</v>
      </c>
      <c r="B59" s="1241" t="s">
        <v>1347</v>
      </c>
      <c r="C59" s="1241" t="s">
        <v>1348</v>
      </c>
      <c r="D59" s="1241" t="s">
        <v>1349</v>
      </c>
      <c r="E59" s="1242" t="s">
        <v>1350</v>
      </c>
      <c r="F59" s="1242" t="s">
        <v>1351</v>
      </c>
      <c r="G59" s="1241">
        <v>9</v>
      </c>
      <c r="H59" s="1241">
        <v>17</v>
      </c>
      <c r="I59" s="1241"/>
      <c r="J59" s="1247">
        <f aca="true" t="shared" si="6" ref="J59:K63">G59/0.508</f>
        <v>17.716535433070867</v>
      </c>
      <c r="K59" s="1248">
        <f t="shared" si="6"/>
        <v>33.46456692913386</v>
      </c>
      <c r="L59" s="1245"/>
      <c r="M59" s="1239"/>
    </row>
    <row r="60" spans="1:13" ht="15">
      <c r="A60" s="1246" t="s">
        <v>1352</v>
      </c>
      <c r="B60" s="1241" t="s">
        <v>1353</v>
      </c>
      <c r="C60" s="1241" t="s">
        <v>1212</v>
      </c>
      <c r="D60" s="1241" t="s">
        <v>1354</v>
      </c>
      <c r="E60" s="1242" t="s">
        <v>1355</v>
      </c>
      <c r="F60" s="1242" t="s">
        <v>1351</v>
      </c>
      <c r="G60" s="1241">
        <v>9</v>
      </c>
      <c r="H60" s="1241">
        <v>17</v>
      </c>
      <c r="I60" s="1241"/>
      <c r="J60" s="1247">
        <f t="shared" si="6"/>
        <v>17.716535433070867</v>
      </c>
      <c r="K60" s="1248">
        <f t="shared" si="6"/>
        <v>33.46456692913386</v>
      </c>
      <c r="L60" s="1245"/>
      <c r="M60" s="1239"/>
    </row>
    <row r="61" spans="1:13" ht="15">
      <c r="A61" s="1246" t="s">
        <v>1356</v>
      </c>
      <c r="B61" s="1241" t="s">
        <v>1357</v>
      </c>
      <c r="C61" s="1241" t="s">
        <v>1256</v>
      </c>
      <c r="D61" s="1241" t="s">
        <v>1358</v>
      </c>
      <c r="E61" s="1242" t="s">
        <v>1311</v>
      </c>
      <c r="F61" s="1242" t="s">
        <v>1351</v>
      </c>
      <c r="G61" s="1241">
        <v>9</v>
      </c>
      <c r="H61" s="1241">
        <v>17</v>
      </c>
      <c r="I61" s="1241"/>
      <c r="J61" s="1247">
        <f t="shared" si="6"/>
        <v>17.716535433070867</v>
      </c>
      <c r="K61" s="1248">
        <f t="shared" si="6"/>
        <v>33.46456692913386</v>
      </c>
      <c r="L61" s="1245"/>
      <c r="M61" s="1239"/>
    </row>
    <row r="62" spans="1:13" ht="15">
      <c r="A62" s="1246" t="s">
        <v>1359</v>
      </c>
      <c r="B62" s="1241" t="s">
        <v>1231</v>
      </c>
      <c r="C62" s="1241" t="s">
        <v>1239</v>
      </c>
      <c r="D62" s="1241" t="s">
        <v>1360</v>
      </c>
      <c r="E62" s="1242" t="s">
        <v>1361</v>
      </c>
      <c r="F62" s="1242" t="s">
        <v>1362</v>
      </c>
      <c r="G62" s="1241">
        <v>9</v>
      </c>
      <c r="H62" s="1241">
        <v>18</v>
      </c>
      <c r="I62" s="1241"/>
      <c r="J62" s="1247">
        <f t="shared" si="6"/>
        <v>17.716535433070867</v>
      </c>
      <c r="K62" s="1248">
        <f t="shared" si="6"/>
        <v>35.43307086614173</v>
      </c>
      <c r="L62" s="1245"/>
      <c r="M62" s="1239"/>
    </row>
    <row r="63" spans="1:13" ht="15">
      <c r="A63" s="1246" t="s">
        <v>1363</v>
      </c>
      <c r="B63" s="1241" t="s">
        <v>1364</v>
      </c>
      <c r="C63" s="1241" t="s">
        <v>1365</v>
      </c>
      <c r="D63" s="1241" t="s">
        <v>1366</v>
      </c>
      <c r="E63" s="1242" t="s">
        <v>1367</v>
      </c>
      <c r="F63" s="1242" t="s">
        <v>1368</v>
      </c>
      <c r="G63" s="1241">
        <v>14</v>
      </c>
      <c r="H63" s="1241">
        <v>25</v>
      </c>
      <c r="I63" s="1241"/>
      <c r="J63" s="1247">
        <f t="shared" si="6"/>
        <v>27.559055118110237</v>
      </c>
      <c r="K63" s="1248">
        <f t="shared" si="6"/>
        <v>49.21259842519685</v>
      </c>
      <c r="L63" s="1245"/>
      <c r="M63" s="1239"/>
    </row>
    <row r="64" spans="1:13" ht="15">
      <c r="A64" s="1246"/>
      <c r="B64" s="1241"/>
      <c r="C64" s="1241"/>
      <c r="D64" s="1241"/>
      <c r="E64" s="1242"/>
      <c r="F64" s="1242"/>
      <c r="G64" s="1241"/>
      <c r="H64" s="1241"/>
      <c r="I64" s="1241"/>
      <c r="J64" s="1243"/>
      <c r="K64" s="1244"/>
      <c r="L64" s="1245"/>
      <c r="M64" s="1239"/>
    </row>
    <row r="65" spans="1:13" ht="15">
      <c r="A65" s="1240" t="s">
        <v>1369</v>
      </c>
      <c r="B65" s="1241"/>
      <c r="C65" s="1241"/>
      <c r="D65" s="1241"/>
      <c r="E65" s="1242"/>
      <c r="F65" s="1242"/>
      <c r="G65" s="1241"/>
      <c r="H65" s="1241"/>
      <c r="I65" s="1241"/>
      <c r="J65" s="1243"/>
      <c r="K65" s="1244"/>
      <c r="L65" s="1245"/>
      <c r="M65" s="1239"/>
    </row>
    <row r="66" spans="1:13" ht="15">
      <c r="A66" s="1246" t="s">
        <v>1370</v>
      </c>
      <c r="B66" s="1241" t="s">
        <v>1371</v>
      </c>
      <c r="C66" s="1241" t="s">
        <v>1212</v>
      </c>
      <c r="D66" s="1241" t="s">
        <v>1232</v>
      </c>
      <c r="E66" s="1242" t="s">
        <v>1372</v>
      </c>
      <c r="F66" s="1242" t="s">
        <v>1373</v>
      </c>
      <c r="G66" s="1241">
        <v>5</v>
      </c>
      <c r="H66" s="1241">
        <v>14</v>
      </c>
      <c r="I66" s="1241"/>
      <c r="J66" s="1247">
        <f aca="true" t="shared" si="7" ref="J66:K68">G66/0.508</f>
        <v>9.84251968503937</v>
      </c>
      <c r="K66" s="1248">
        <f t="shared" si="7"/>
        <v>27.559055118110237</v>
      </c>
      <c r="L66" s="1249" t="s">
        <v>1374</v>
      </c>
      <c r="M66" s="1239"/>
    </row>
    <row r="67" spans="1:13" ht="15">
      <c r="A67" s="1246" t="s">
        <v>1375</v>
      </c>
      <c r="B67" s="1241" t="s">
        <v>1371</v>
      </c>
      <c r="C67" s="1241" t="s">
        <v>1212</v>
      </c>
      <c r="D67" s="1241" t="s">
        <v>1232</v>
      </c>
      <c r="E67" s="1242" t="s">
        <v>1376</v>
      </c>
      <c r="F67" s="1242" t="s">
        <v>1377</v>
      </c>
      <c r="G67" s="1241">
        <v>10</v>
      </c>
      <c r="H67" s="1241">
        <v>17</v>
      </c>
      <c r="I67" s="1241"/>
      <c r="J67" s="1247">
        <f t="shared" si="7"/>
        <v>19.68503937007874</v>
      </c>
      <c r="K67" s="1248">
        <f t="shared" si="7"/>
        <v>33.46456692913386</v>
      </c>
      <c r="L67" s="1245"/>
      <c r="M67" s="1239"/>
    </row>
    <row r="68" spans="1:13" ht="15">
      <c r="A68" s="1246" t="s">
        <v>1378</v>
      </c>
      <c r="B68" s="1241" t="s">
        <v>1371</v>
      </c>
      <c r="C68" s="1241" t="s">
        <v>1256</v>
      </c>
      <c r="D68" s="1241" t="s">
        <v>1379</v>
      </c>
      <c r="E68" s="1242" t="s">
        <v>1380</v>
      </c>
      <c r="F68" s="1242" t="s">
        <v>1381</v>
      </c>
      <c r="G68" s="1241">
        <v>18</v>
      </c>
      <c r="H68" s="1241">
        <v>35</v>
      </c>
      <c r="I68" s="1241"/>
      <c r="J68" s="1247">
        <f t="shared" si="7"/>
        <v>35.43307086614173</v>
      </c>
      <c r="K68" s="1248">
        <f t="shared" si="7"/>
        <v>68.89763779527559</v>
      </c>
      <c r="L68" s="1245"/>
      <c r="M68" s="1239"/>
    </row>
    <row r="69" spans="1:13" ht="15">
      <c r="A69" s="1246"/>
      <c r="B69" s="1241"/>
      <c r="C69" s="1241"/>
      <c r="D69" s="1241"/>
      <c r="E69" s="1242"/>
      <c r="F69" s="1242"/>
      <c r="G69" s="1241"/>
      <c r="H69" s="1241"/>
      <c r="I69" s="1241"/>
      <c r="J69" s="1243"/>
      <c r="K69" s="1244"/>
      <c r="L69" s="1245"/>
      <c r="M69" s="1239"/>
    </row>
    <row r="70" spans="1:13" ht="15">
      <c r="A70" s="1240" t="s">
        <v>1382</v>
      </c>
      <c r="B70" s="1241"/>
      <c r="C70" s="1241"/>
      <c r="D70" s="1241"/>
      <c r="E70" s="1242"/>
      <c r="F70" s="1242"/>
      <c r="G70" s="1241"/>
      <c r="H70" s="1241"/>
      <c r="I70" s="1241"/>
      <c r="J70" s="1243"/>
      <c r="K70" s="1244"/>
      <c r="L70" s="1245"/>
      <c r="M70" s="1239"/>
    </row>
    <row r="71" spans="1:13" ht="15">
      <c r="A71" s="1246" t="s">
        <v>1383</v>
      </c>
      <c r="B71" s="1241" t="s">
        <v>1384</v>
      </c>
      <c r="C71" s="1241" t="s">
        <v>1219</v>
      </c>
      <c r="D71" s="1241" t="s">
        <v>1385</v>
      </c>
      <c r="E71" s="1242" t="s">
        <v>1386</v>
      </c>
      <c r="F71" s="1242" t="s">
        <v>1387</v>
      </c>
      <c r="G71" s="1241">
        <v>12</v>
      </c>
      <c r="H71" s="1241">
        <v>25</v>
      </c>
      <c r="I71" s="1241"/>
      <c r="J71" s="1247">
        <f aca="true" t="shared" si="8" ref="J71:K73">G71/0.508</f>
        <v>23.62204724409449</v>
      </c>
      <c r="K71" s="1248">
        <f t="shared" si="8"/>
        <v>49.21259842519685</v>
      </c>
      <c r="L71" s="1245"/>
      <c r="M71" s="1239"/>
    </row>
    <row r="72" spans="1:13" ht="15">
      <c r="A72" s="1246" t="s">
        <v>1388</v>
      </c>
      <c r="B72" s="1241" t="s">
        <v>1389</v>
      </c>
      <c r="C72" s="1241" t="s">
        <v>1319</v>
      </c>
      <c r="D72" s="1241" t="s">
        <v>1390</v>
      </c>
      <c r="E72" s="1242" t="s">
        <v>1391</v>
      </c>
      <c r="F72" s="1242" t="s">
        <v>1392</v>
      </c>
      <c r="G72" s="1241">
        <v>19</v>
      </c>
      <c r="H72" s="1241">
        <v>35</v>
      </c>
      <c r="I72" s="1241"/>
      <c r="J72" s="1247">
        <f t="shared" si="8"/>
        <v>37.40157480314961</v>
      </c>
      <c r="K72" s="1248">
        <f t="shared" si="8"/>
        <v>68.89763779527559</v>
      </c>
      <c r="L72" s="1245"/>
      <c r="M72" s="1239"/>
    </row>
    <row r="73" spans="1:13" ht="15">
      <c r="A73" s="1246" t="s">
        <v>1393</v>
      </c>
      <c r="B73" s="1241" t="s">
        <v>1394</v>
      </c>
      <c r="C73" s="1241" t="s">
        <v>1219</v>
      </c>
      <c r="D73" s="1241" t="s">
        <v>1227</v>
      </c>
      <c r="E73" s="1242" t="s">
        <v>1395</v>
      </c>
      <c r="F73" s="1242" t="s">
        <v>1396</v>
      </c>
      <c r="G73" s="1241">
        <v>12</v>
      </c>
      <c r="H73" s="1241">
        <v>22</v>
      </c>
      <c r="I73" s="1241"/>
      <c r="J73" s="1247">
        <f t="shared" si="8"/>
        <v>23.62204724409449</v>
      </c>
      <c r="K73" s="1248">
        <f t="shared" si="8"/>
        <v>43.30708661417323</v>
      </c>
      <c r="L73" s="1245"/>
      <c r="M73" s="1239"/>
    </row>
    <row r="74" spans="1:13" ht="15">
      <c r="A74" s="1246"/>
      <c r="B74" s="1241"/>
      <c r="C74" s="1241"/>
      <c r="D74" s="1241"/>
      <c r="E74" s="1242"/>
      <c r="F74" s="1242"/>
      <c r="G74" s="1241"/>
      <c r="H74" s="1241"/>
      <c r="I74" s="1241"/>
      <c r="J74" s="1247"/>
      <c r="K74" s="1248"/>
      <c r="L74" s="1245"/>
      <c r="M74" s="1239"/>
    </row>
    <row r="75" spans="1:13" ht="15">
      <c r="A75" s="1240" t="s">
        <v>1397</v>
      </c>
      <c r="B75" s="1241"/>
      <c r="C75" s="1241"/>
      <c r="D75" s="1241"/>
      <c r="E75" s="1242"/>
      <c r="F75" s="1242"/>
      <c r="G75" s="1241"/>
      <c r="H75" s="1241"/>
      <c r="I75" s="1241"/>
      <c r="J75" s="1247"/>
      <c r="K75" s="1248"/>
      <c r="L75" s="1245"/>
      <c r="M75" s="1239"/>
    </row>
    <row r="76" spans="1:13" ht="15">
      <c r="A76" s="1246" t="s">
        <v>1398</v>
      </c>
      <c r="B76" s="1241" t="s">
        <v>1394</v>
      </c>
      <c r="C76" s="1241" t="s">
        <v>1399</v>
      </c>
      <c r="D76" s="1241" t="s">
        <v>1400</v>
      </c>
      <c r="E76" s="1242" t="s">
        <v>1401</v>
      </c>
      <c r="F76" s="1242" t="s">
        <v>1395</v>
      </c>
      <c r="G76" s="1241">
        <v>20</v>
      </c>
      <c r="H76" s="1241">
        <v>30</v>
      </c>
      <c r="I76" s="1241"/>
      <c r="J76" s="1247">
        <f aca="true" t="shared" si="9" ref="J76:K78">G76/0.508</f>
        <v>39.37007874015748</v>
      </c>
      <c r="K76" s="1248">
        <f t="shared" si="9"/>
        <v>59.05511811023622</v>
      </c>
      <c r="L76" s="1245"/>
      <c r="M76" s="1239"/>
    </row>
    <row r="77" spans="1:13" ht="15">
      <c r="A77" s="1246" t="s">
        <v>1402</v>
      </c>
      <c r="B77" s="1241" t="s">
        <v>1403</v>
      </c>
      <c r="C77" s="1241" t="s">
        <v>1404</v>
      </c>
      <c r="D77" s="1241" t="s">
        <v>1213</v>
      </c>
      <c r="E77" s="1242" t="s">
        <v>1405</v>
      </c>
      <c r="F77" s="1242" t="s">
        <v>1406</v>
      </c>
      <c r="G77" s="1241">
        <v>22</v>
      </c>
      <c r="H77" s="1241">
        <v>35</v>
      </c>
      <c r="I77" s="1241"/>
      <c r="J77" s="1247">
        <f t="shared" si="9"/>
        <v>43.30708661417323</v>
      </c>
      <c r="K77" s="1248">
        <f t="shared" si="9"/>
        <v>68.89763779527559</v>
      </c>
      <c r="L77" s="1245"/>
      <c r="M77" s="1239"/>
    </row>
    <row r="78" spans="1:13" ht="15">
      <c r="A78" s="1246" t="s">
        <v>1407</v>
      </c>
      <c r="B78" s="1241" t="s">
        <v>1408</v>
      </c>
      <c r="C78" s="1241" t="s">
        <v>1409</v>
      </c>
      <c r="D78" s="1241" t="s">
        <v>1410</v>
      </c>
      <c r="E78" s="1242" t="s">
        <v>1411</v>
      </c>
      <c r="F78" s="1242" t="s">
        <v>1412</v>
      </c>
      <c r="G78" s="1241">
        <v>17</v>
      </c>
      <c r="H78" s="1241">
        <v>30</v>
      </c>
      <c r="I78" s="1241"/>
      <c r="J78" s="1247">
        <f t="shared" si="9"/>
        <v>33.46456692913386</v>
      </c>
      <c r="K78" s="1248">
        <f t="shared" si="9"/>
        <v>59.05511811023622</v>
      </c>
      <c r="L78" s="1245"/>
      <c r="M78" s="1239"/>
    </row>
    <row r="79" spans="1:13" ht="15">
      <c r="A79" s="1246"/>
      <c r="B79" s="1241"/>
      <c r="C79" s="1241"/>
      <c r="D79" s="1241"/>
      <c r="E79" s="1242"/>
      <c r="F79" s="1242"/>
      <c r="G79" s="1241"/>
      <c r="H79" s="1241"/>
      <c r="I79" s="1241"/>
      <c r="J79" s="1247"/>
      <c r="K79" s="1248"/>
      <c r="L79" s="1245"/>
      <c r="M79" s="1239"/>
    </row>
    <row r="80" spans="1:13" ht="15">
      <c r="A80" s="1240" t="s">
        <v>1413</v>
      </c>
      <c r="B80" s="1241"/>
      <c r="C80" s="1241"/>
      <c r="D80" s="1241"/>
      <c r="E80" s="1242"/>
      <c r="F80" s="1242"/>
      <c r="G80" s="1241"/>
      <c r="H80" s="1241"/>
      <c r="I80" s="1241"/>
      <c r="J80" s="1247"/>
      <c r="K80" s="1248"/>
      <c r="L80" s="1245"/>
      <c r="M80" s="1239"/>
    </row>
    <row r="81" spans="1:13" ht="15">
      <c r="A81" s="1246" t="s">
        <v>1414</v>
      </c>
      <c r="B81" s="1241" t="s">
        <v>1415</v>
      </c>
      <c r="C81" s="1241" t="s">
        <v>1304</v>
      </c>
      <c r="D81" s="1241" t="s">
        <v>1416</v>
      </c>
      <c r="E81" s="1242" t="s">
        <v>1321</v>
      </c>
      <c r="F81" s="1242" t="s">
        <v>1417</v>
      </c>
      <c r="G81" s="1241">
        <v>25</v>
      </c>
      <c r="H81" s="1241">
        <v>40</v>
      </c>
      <c r="I81" s="1241"/>
      <c r="J81" s="1247">
        <f aca="true" t="shared" si="10" ref="J81:K86">G81/0.508</f>
        <v>49.21259842519685</v>
      </c>
      <c r="K81" s="1248">
        <f t="shared" si="10"/>
        <v>78.74015748031496</v>
      </c>
      <c r="L81" s="1245"/>
      <c r="M81" s="1239"/>
    </row>
    <row r="82" spans="1:13" ht="15">
      <c r="A82" s="1246" t="s">
        <v>1418</v>
      </c>
      <c r="B82" s="1241" t="s">
        <v>1419</v>
      </c>
      <c r="C82" s="1241" t="s">
        <v>1420</v>
      </c>
      <c r="D82" s="1241" t="s">
        <v>1360</v>
      </c>
      <c r="E82" s="1242" t="s">
        <v>1233</v>
      </c>
      <c r="F82" s="1242" t="s">
        <v>1421</v>
      </c>
      <c r="G82" s="1241">
        <v>30</v>
      </c>
      <c r="H82" s="1241">
        <v>40</v>
      </c>
      <c r="I82" s="1241"/>
      <c r="J82" s="1247">
        <f t="shared" si="10"/>
        <v>59.05511811023622</v>
      </c>
      <c r="K82" s="1248">
        <f t="shared" si="10"/>
        <v>78.74015748031496</v>
      </c>
      <c r="L82" s="1245"/>
      <c r="M82" s="1239"/>
    </row>
    <row r="83" spans="1:13" ht="15">
      <c r="A83" s="1246" t="s">
        <v>1422</v>
      </c>
      <c r="B83" s="1241" t="s">
        <v>1403</v>
      </c>
      <c r="C83" s="1241" t="s">
        <v>1423</v>
      </c>
      <c r="D83" s="1241" t="s">
        <v>1438</v>
      </c>
      <c r="E83" s="1242" t="s">
        <v>1233</v>
      </c>
      <c r="F83" s="1242" t="s">
        <v>1439</v>
      </c>
      <c r="G83" s="1241">
        <v>22</v>
      </c>
      <c r="H83" s="1241">
        <v>40</v>
      </c>
      <c r="I83" s="1241"/>
      <c r="J83" s="1247">
        <f t="shared" si="10"/>
        <v>43.30708661417323</v>
      </c>
      <c r="K83" s="1248">
        <f t="shared" si="10"/>
        <v>78.74015748031496</v>
      </c>
      <c r="L83" s="1245"/>
      <c r="M83" s="1239"/>
    </row>
    <row r="84" spans="1:13" ht="15">
      <c r="A84" s="1246" t="s">
        <v>1440</v>
      </c>
      <c r="B84" s="1241" t="s">
        <v>1441</v>
      </c>
      <c r="C84" s="1241" t="s">
        <v>1423</v>
      </c>
      <c r="D84" s="1241" t="s">
        <v>1442</v>
      </c>
      <c r="E84" s="1242" t="s">
        <v>1443</v>
      </c>
      <c r="F84" s="1242" t="s">
        <v>1421</v>
      </c>
      <c r="G84" s="1241">
        <v>30</v>
      </c>
      <c r="H84" s="1241">
        <v>40</v>
      </c>
      <c r="I84" s="1241"/>
      <c r="J84" s="1247">
        <f t="shared" si="10"/>
        <v>59.05511811023622</v>
      </c>
      <c r="K84" s="1248">
        <f t="shared" si="10"/>
        <v>78.74015748031496</v>
      </c>
      <c r="L84" s="1245"/>
      <c r="M84" s="1239"/>
    </row>
    <row r="85" spans="1:13" ht="15">
      <c r="A85" s="1246" t="s">
        <v>1444</v>
      </c>
      <c r="B85" s="1241" t="s">
        <v>1445</v>
      </c>
      <c r="C85" s="1241" t="s">
        <v>1446</v>
      </c>
      <c r="D85" s="1241" t="s">
        <v>1447</v>
      </c>
      <c r="E85" s="1242" t="s">
        <v>1448</v>
      </c>
      <c r="F85" s="1242" t="s">
        <v>1421</v>
      </c>
      <c r="G85" s="1241">
        <v>30</v>
      </c>
      <c r="H85" s="1241">
        <v>40</v>
      </c>
      <c r="I85" s="1241"/>
      <c r="J85" s="1247">
        <f t="shared" si="10"/>
        <v>59.05511811023622</v>
      </c>
      <c r="K85" s="1248">
        <f t="shared" si="10"/>
        <v>78.74015748031496</v>
      </c>
      <c r="L85" s="1245"/>
      <c r="M85" s="1239"/>
    </row>
    <row r="86" spans="1:13" ht="15">
      <c r="A86" s="1246" t="s">
        <v>1449</v>
      </c>
      <c r="B86" s="1241" t="s">
        <v>1450</v>
      </c>
      <c r="C86" s="1241" t="s">
        <v>1365</v>
      </c>
      <c r="D86" s="1241" t="s">
        <v>1451</v>
      </c>
      <c r="E86" s="1242" t="s">
        <v>1452</v>
      </c>
      <c r="F86" s="1242" t="s">
        <v>1421</v>
      </c>
      <c r="G86" s="1241">
        <v>30</v>
      </c>
      <c r="H86" s="1241">
        <v>40</v>
      </c>
      <c r="I86" s="1241"/>
      <c r="J86" s="1247">
        <f t="shared" si="10"/>
        <v>59.05511811023622</v>
      </c>
      <c r="K86" s="1248">
        <f t="shared" si="10"/>
        <v>78.74015748031496</v>
      </c>
      <c r="L86" s="1245"/>
      <c r="M86" s="1239"/>
    </row>
    <row r="87" spans="1:13" ht="15">
      <c r="A87" s="1246"/>
      <c r="B87" s="1241"/>
      <c r="C87" s="1241"/>
      <c r="D87" s="1241"/>
      <c r="E87" s="1242"/>
      <c r="F87" s="1242"/>
      <c r="G87" s="1241"/>
      <c r="H87" s="1241"/>
      <c r="I87" s="1241"/>
      <c r="J87" s="1247"/>
      <c r="K87" s="1248"/>
      <c r="L87" s="1245"/>
      <c r="M87" s="1239"/>
    </row>
    <row r="88" spans="1:13" ht="15">
      <c r="A88" s="1240" t="s">
        <v>1453</v>
      </c>
      <c r="B88" s="1241"/>
      <c r="C88" s="1241"/>
      <c r="D88" s="1241"/>
      <c r="E88" s="1242"/>
      <c r="F88" s="1242"/>
      <c r="G88" s="1241"/>
      <c r="H88" s="1241"/>
      <c r="I88" s="1241"/>
      <c r="J88" s="1247"/>
      <c r="K88" s="1248"/>
      <c r="L88" s="1245"/>
      <c r="M88" s="1239"/>
    </row>
    <row r="89" spans="1:13" ht="15">
      <c r="A89" s="1246" t="s">
        <v>1454</v>
      </c>
      <c r="B89" s="1241" t="s">
        <v>1445</v>
      </c>
      <c r="C89" s="1241" t="s">
        <v>1423</v>
      </c>
      <c r="D89" s="1241" t="s">
        <v>1455</v>
      </c>
      <c r="E89" s="1242" t="s">
        <v>1456</v>
      </c>
      <c r="F89" s="1242" t="s">
        <v>1457</v>
      </c>
      <c r="G89" s="1241">
        <v>8</v>
      </c>
      <c r="H89" s="1241">
        <v>14</v>
      </c>
      <c r="I89" s="1241"/>
      <c r="J89" s="1247">
        <f aca="true" t="shared" si="11" ref="J89:K91">G89/0.508</f>
        <v>15.748031496062993</v>
      </c>
      <c r="K89" s="1248">
        <f t="shared" si="11"/>
        <v>27.559055118110237</v>
      </c>
      <c r="L89" s="1245" t="s">
        <v>1458</v>
      </c>
      <c r="M89" s="1239"/>
    </row>
    <row r="90" spans="1:13" ht="15">
      <c r="A90" s="1246" t="s">
        <v>1459</v>
      </c>
      <c r="B90" s="1241" t="s">
        <v>1441</v>
      </c>
      <c r="C90" s="1241" t="s">
        <v>1423</v>
      </c>
      <c r="D90" s="1241" t="s">
        <v>1460</v>
      </c>
      <c r="E90" s="1242" t="s">
        <v>1461</v>
      </c>
      <c r="F90" s="1242" t="s">
        <v>1462</v>
      </c>
      <c r="G90" s="1241">
        <v>6</v>
      </c>
      <c r="H90" s="1241">
        <v>15</v>
      </c>
      <c r="I90" s="1241"/>
      <c r="J90" s="1247">
        <f t="shared" si="11"/>
        <v>11.811023622047244</v>
      </c>
      <c r="K90" s="1248">
        <f t="shared" si="11"/>
        <v>29.52755905511811</v>
      </c>
      <c r="L90" s="1245"/>
      <c r="M90" s="1239"/>
    </row>
    <row r="91" spans="1:13" ht="15">
      <c r="A91" s="1246" t="s">
        <v>1463</v>
      </c>
      <c r="B91" s="1241" t="s">
        <v>1464</v>
      </c>
      <c r="C91" s="1241" t="s">
        <v>1465</v>
      </c>
      <c r="D91" s="1241" t="s">
        <v>1466</v>
      </c>
      <c r="E91" s="1242" t="s">
        <v>1467</v>
      </c>
      <c r="F91" s="1242" t="s">
        <v>1468</v>
      </c>
      <c r="G91" s="1241">
        <v>8</v>
      </c>
      <c r="H91" s="1241">
        <v>15</v>
      </c>
      <c r="I91" s="1241"/>
      <c r="J91" s="1247">
        <f t="shared" si="11"/>
        <v>15.748031496062993</v>
      </c>
      <c r="K91" s="1248">
        <f t="shared" si="11"/>
        <v>29.52755905511811</v>
      </c>
      <c r="L91" s="1245"/>
      <c r="M91" s="1239"/>
    </row>
    <row r="92" spans="1:13" ht="15">
      <c r="A92" s="1246"/>
      <c r="B92" s="1241"/>
      <c r="C92" s="1241"/>
      <c r="D92" s="1241"/>
      <c r="E92" s="1242"/>
      <c r="F92" s="1242"/>
      <c r="G92" s="1241"/>
      <c r="H92" s="1241"/>
      <c r="I92" s="1241"/>
      <c r="J92" s="1247"/>
      <c r="K92" s="1248"/>
      <c r="L92" s="1245"/>
      <c r="M92" s="1239"/>
    </row>
    <row r="93" spans="1:13" ht="15">
      <c r="A93" s="1240" t="s">
        <v>1469</v>
      </c>
      <c r="B93" s="1241"/>
      <c r="C93" s="1241"/>
      <c r="D93" s="1241"/>
      <c r="E93" s="1242"/>
      <c r="F93" s="1242"/>
      <c r="G93" s="1241"/>
      <c r="H93" s="1241"/>
      <c r="I93" s="1241"/>
      <c r="J93" s="1247"/>
      <c r="K93" s="1248"/>
      <c r="L93" s="1245"/>
      <c r="M93" s="1239"/>
    </row>
    <row r="94" spans="1:13" ht="15">
      <c r="A94" s="1246" t="s">
        <v>1470</v>
      </c>
      <c r="B94" s="1241" t="s">
        <v>1471</v>
      </c>
      <c r="C94" s="1241" t="s">
        <v>1239</v>
      </c>
      <c r="D94" s="1241" t="s">
        <v>1472</v>
      </c>
      <c r="E94" s="1242" t="s">
        <v>1195</v>
      </c>
      <c r="F94" s="1242" t="s">
        <v>1473</v>
      </c>
      <c r="G94" s="1241">
        <v>2</v>
      </c>
      <c r="H94" s="1241">
        <v>8</v>
      </c>
      <c r="I94" s="1241"/>
      <c r="J94" s="1247">
        <f aca="true" t="shared" si="12" ref="J94:K97">G94/0.508</f>
        <v>3.937007874015748</v>
      </c>
      <c r="K94" s="1248">
        <f t="shared" si="12"/>
        <v>15.748031496062993</v>
      </c>
      <c r="L94" s="1245" t="s">
        <v>1474</v>
      </c>
      <c r="M94" s="1239"/>
    </row>
    <row r="95" spans="1:13" ht="15">
      <c r="A95" s="1246" t="s">
        <v>1475</v>
      </c>
      <c r="B95" s="1241" t="s">
        <v>1225</v>
      </c>
      <c r="C95" s="1241" t="s">
        <v>1239</v>
      </c>
      <c r="D95" s="1241" t="s">
        <v>1472</v>
      </c>
      <c r="E95" s="1242" t="s">
        <v>1476</v>
      </c>
      <c r="F95" s="1242" t="s">
        <v>1477</v>
      </c>
      <c r="G95" s="1241">
        <v>14</v>
      </c>
      <c r="H95" s="1241">
        <v>23</v>
      </c>
      <c r="I95" s="1241"/>
      <c r="J95" s="1247">
        <f t="shared" si="12"/>
        <v>27.559055118110237</v>
      </c>
      <c r="K95" s="1248">
        <f t="shared" si="12"/>
        <v>45.275590551181104</v>
      </c>
      <c r="L95" s="1245" t="s">
        <v>1474</v>
      </c>
      <c r="M95" s="1239"/>
    </row>
    <row r="96" spans="1:13" ht="15">
      <c r="A96" s="1246" t="s">
        <v>1478</v>
      </c>
      <c r="B96" s="1241" t="s">
        <v>1479</v>
      </c>
      <c r="C96" s="1241" t="s">
        <v>1480</v>
      </c>
      <c r="D96" s="1241" t="s">
        <v>1481</v>
      </c>
      <c r="E96" s="1242" t="s">
        <v>1311</v>
      </c>
      <c r="F96" s="1242" t="s">
        <v>1387</v>
      </c>
      <c r="G96" s="1241">
        <v>12</v>
      </c>
      <c r="H96" s="1241">
        <v>25</v>
      </c>
      <c r="I96" s="1241"/>
      <c r="J96" s="1247">
        <f t="shared" si="12"/>
        <v>23.62204724409449</v>
      </c>
      <c r="K96" s="1248">
        <f t="shared" si="12"/>
        <v>49.21259842519685</v>
      </c>
      <c r="L96" s="1245" t="s">
        <v>1474</v>
      </c>
      <c r="M96" s="1239"/>
    </row>
    <row r="97" spans="1:13" ht="15">
      <c r="A97" s="1246" t="s">
        <v>1482</v>
      </c>
      <c r="B97" s="1241" t="s">
        <v>1199</v>
      </c>
      <c r="C97" s="1241" t="s">
        <v>1239</v>
      </c>
      <c r="D97" s="1241" t="s">
        <v>1232</v>
      </c>
      <c r="E97" s="1242" t="s">
        <v>1350</v>
      </c>
      <c r="F97" s="1242" t="s">
        <v>1483</v>
      </c>
      <c r="G97" s="1241">
        <v>14</v>
      </c>
      <c r="H97" s="1241">
        <v>19</v>
      </c>
      <c r="I97" s="1241"/>
      <c r="J97" s="1247">
        <f t="shared" si="12"/>
        <v>27.559055118110237</v>
      </c>
      <c r="K97" s="1248">
        <f t="shared" si="12"/>
        <v>37.40157480314961</v>
      </c>
      <c r="L97" s="1245" t="s">
        <v>1484</v>
      </c>
      <c r="M97" s="1239"/>
    </row>
    <row r="98" spans="1:13" ht="15">
      <c r="A98" s="1246"/>
      <c r="B98" s="1241"/>
      <c r="C98" s="1241"/>
      <c r="D98" s="1241"/>
      <c r="E98" s="1242"/>
      <c r="F98" s="1242"/>
      <c r="G98" s="1241"/>
      <c r="H98" s="1241"/>
      <c r="I98" s="1241"/>
      <c r="J98" s="1247"/>
      <c r="K98" s="1248"/>
      <c r="L98" s="1245"/>
      <c r="M98" s="1239"/>
    </row>
    <row r="99" spans="1:13" ht="15">
      <c r="A99" s="1240" t="s">
        <v>1485</v>
      </c>
      <c r="B99" s="1241"/>
      <c r="C99" s="1241"/>
      <c r="D99" s="1241"/>
      <c r="E99" s="1242"/>
      <c r="F99" s="1242"/>
      <c r="G99" s="1241"/>
      <c r="H99" s="1241"/>
      <c r="I99" s="1241"/>
      <c r="J99" s="1247"/>
      <c r="K99" s="1248"/>
      <c r="L99" s="1245"/>
      <c r="M99" s="1239"/>
    </row>
    <row r="100" spans="1:13" ht="15">
      <c r="A100" s="1246" t="s">
        <v>1487</v>
      </c>
      <c r="B100" s="1241" t="s">
        <v>1471</v>
      </c>
      <c r="C100" s="1241" t="s">
        <v>1200</v>
      </c>
      <c r="D100" s="1241" t="s">
        <v>1320</v>
      </c>
      <c r="E100" s="1242" t="s">
        <v>1350</v>
      </c>
      <c r="F100" s="1242" t="s">
        <v>1196</v>
      </c>
      <c r="G100" s="1241">
        <v>2</v>
      </c>
      <c r="H100" s="1241">
        <v>4</v>
      </c>
      <c r="I100" s="1241"/>
      <c r="J100" s="1247">
        <f aca="true" t="shared" si="13" ref="J100:K103">G100/0.508</f>
        <v>3.937007874015748</v>
      </c>
      <c r="K100" s="1248">
        <f t="shared" si="13"/>
        <v>7.874015748031496</v>
      </c>
      <c r="L100" s="1245" t="s">
        <v>1488</v>
      </c>
      <c r="M100" s="1239"/>
    </row>
    <row r="101" spans="1:13" ht="15">
      <c r="A101" s="1246" t="s">
        <v>1489</v>
      </c>
      <c r="B101" s="1241" t="s">
        <v>1318</v>
      </c>
      <c r="C101" s="1241" t="s">
        <v>1239</v>
      </c>
      <c r="D101" s="1241" t="s">
        <v>1490</v>
      </c>
      <c r="E101" s="1242" t="s">
        <v>1305</v>
      </c>
      <c r="F101" s="1242" t="s">
        <v>1457</v>
      </c>
      <c r="G101" s="1241">
        <v>8</v>
      </c>
      <c r="H101" s="1241">
        <v>14</v>
      </c>
      <c r="I101" s="1241"/>
      <c r="J101" s="1247">
        <f t="shared" si="13"/>
        <v>15.748031496062993</v>
      </c>
      <c r="K101" s="1248">
        <f t="shared" si="13"/>
        <v>27.559055118110237</v>
      </c>
      <c r="L101" s="1245" t="s">
        <v>1491</v>
      </c>
      <c r="M101" s="1239"/>
    </row>
    <row r="102" spans="1:13" ht="15">
      <c r="A102" s="1246" t="s">
        <v>1492</v>
      </c>
      <c r="B102" s="1241" t="s">
        <v>1493</v>
      </c>
      <c r="C102" s="1241" t="s">
        <v>1256</v>
      </c>
      <c r="D102" s="1241" t="s">
        <v>1494</v>
      </c>
      <c r="E102" s="1242" t="s">
        <v>1221</v>
      </c>
      <c r="F102" s="1242" t="s">
        <v>1495</v>
      </c>
      <c r="G102" s="1241">
        <v>5</v>
      </c>
      <c r="H102" s="1241">
        <v>12</v>
      </c>
      <c r="I102" s="1241"/>
      <c r="J102" s="1247">
        <f t="shared" si="13"/>
        <v>9.84251968503937</v>
      </c>
      <c r="K102" s="1248">
        <f t="shared" si="13"/>
        <v>23.62204724409449</v>
      </c>
      <c r="L102" s="1245" t="s">
        <v>1496</v>
      </c>
      <c r="M102" s="1239"/>
    </row>
    <row r="103" spans="1:13" ht="15">
      <c r="A103" s="1246" t="s">
        <v>1497</v>
      </c>
      <c r="B103" s="1241" t="s">
        <v>1498</v>
      </c>
      <c r="C103" s="1241" t="s">
        <v>1499</v>
      </c>
      <c r="D103" s="1241" t="s">
        <v>1500</v>
      </c>
      <c r="E103" s="1242" t="s">
        <v>1305</v>
      </c>
      <c r="F103" s="1242" t="s">
        <v>1501</v>
      </c>
      <c r="G103" s="1241">
        <v>6</v>
      </c>
      <c r="H103" s="1241">
        <v>19</v>
      </c>
      <c r="I103" s="1241"/>
      <c r="J103" s="1247">
        <f t="shared" si="13"/>
        <v>11.811023622047244</v>
      </c>
      <c r="K103" s="1248">
        <f t="shared" si="13"/>
        <v>37.40157480314961</v>
      </c>
      <c r="L103" s="1245" t="s">
        <v>1502</v>
      </c>
      <c r="M103" s="1239"/>
    </row>
    <row r="104" spans="1:13" ht="15">
      <c r="A104" s="1246" t="s">
        <v>1503</v>
      </c>
      <c r="B104" s="1251" t="s">
        <v>1504</v>
      </c>
      <c r="C104" s="1241"/>
      <c r="D104" s="1241"/>
      <c r="E104" s="1242"/>
      <c r="F104" s="1242"/>
      <c r="G104" s="1241"/>
      <c r="H104" s="1241"/>
      <c r="I104" s="1241"/>
      <c r="J104" s="1247"/>
      <c r="K104" s="1248"/>
      <c r="L104" s="1245"/>
      <c r="M104" s="1239"/>
    </row>
    <row r="105" spans="1:13" ht="15">
      <c r="A105" s="1246"/>
      <c r="B105" s="1251"/>
      <c r="C105" s="1241"/>
      <c r="D105" s="1241"/>
      <c r="E105" s="1242"/>
      <c r="F105" s="1242"/>
      <c r="G105" s="1241"/>
      <c r="H105" s="1241"/>
      <c r="I105" s="1241"/>
      <c r="J105" s="1247"/>
      <c r="K105" s="1248"/>
      <c r="L105" s="1245"/>
      <c r="M105" s="1239"/>
    </row>
    <row r="106" spans="1:13" ht="15">
      <c r="A106" s="1240" t="s">
        <v>1505</v>
      </c>
      <c r="B106" s="1241"/>
      <c r="C106" s="1241"/>
      <c r="D106" s="1241"/>
      <c r="E106" s="1242"/>
      <c r="F106" s="1242"/>
      <c r="G106" s="1241"/>
      <c r="H106" s="1241"/>
      <c r="I106" s="1241"/>
      <c r="J106" s="1247"/>
      <c r="K106" s="1248"/>
      <c r="L106" s="1245"/>
      <c r="M106" s="1239"/>
    </row>
    <row r="107" spans="1:13" ht="15">
      <c r="A107" s="1246" t="s">
        <v>1506</v>
      </c>
      <c r="B107" s="1241" t="s">
        <v>1507</v>
      </c>
      <c r="C107" s="1241" t="s">
        <v>1508</v>
      </c>
      <c r="D107" s="1241" t="s">
        <v>1509</v>
      </c>
      <c r="E107" s="1242" t="s">
        <v>1510</v>
      </c>
      <c r="F107" s="1242" t="s">
        <v>1189</v>
      </c>
      <c r="G107" s="1241">
        <v>2</v>
      </c>
      <c r="H107" s="1241">
        <v>3</v>
      </c>
      <c r="I107" s="1241"/>
      <c r="J107" s="1247">
        <f aca="true" t="shared" si="14" ref="J107:K112">G107/0.508</f>
        <v>3.937007874015748</v>
      </c>
      <c r="K107" s="1248">
        <f t="shared" si="14"/>
        <v>5.905511811023622</v>
      </c>
      <c r="L107" s="1245" t="s">
        <v>1474</v>
      </c>
      <c r="M107" s="1239"/>
    </row>
    <row r="108" spans="1:13" ht="15">
      <c r="A108" s="1246" t="s">
        <v>1511</v>
      </c>
      <c r="B108" s="1241" t="s">
        <v>1314</v>
      </c>
      <c r="C108" s="1241" t="s">
        <v>1512</v>
      </c>
      <c r="D108" s="1241" t="s">
        <v>1513</v>
      </c>
      <c r="E108" s="1242" t="s">
        <v>1202</v>
      </c>
      <c r="F108" s="1242" t="s">
        <v>1242</v>
      </c>
      <c r="G108" s="1241">
        <v>10</v>
      </c>
      <c r="H108" s="1241">
        <v>16</v>
      </c>
      <c r="I108" s="1241"/>
      <c r="J108" s="1247">
        <f t="shared" si="14"/>
        <v>19.68503937007874</v>
      </c>
      <c r="K108" s="1248">
        <f t="shared" si="14"/>
        <v>31.496062992125985</v>
      </c>
      <c r="L108" s="1245" t="s">
        <v>421</v>
      </c>
      <c r="M108" s="1239"/>
    </row>
    <row r="109" spans="1:13" ht="15">
      <c r="A109" s="1246" t="s">
        <v>1514</v>
      </c>
      <c r="B109" s="1241" t="s">
        <v>1515</v>
      </c>
      <c r="C109" s="1241" t="s">
        <v>1404</v>
      </c>
      <c r="D109" s="1241" t="s">
        <v>1516</v>
      </c>
      <c r="E109" s="1242" t="s">
        <v>1202</v>
      </c>
      <c r="F109" s="1242" t="s">
        <v>1517</v>
      </c>
      <c r="G109" s="1241">
        <v>15</v>
      </c>
      <c r="H109" s="1241">
        <v>20</v>
      </c>
      <c r="I109" s="1241"/>
      <c r="J109" s="1247">
        <f t="shared" si="14"/>
        <v>29.52755905511811</v>
      </c>
      <c r="K109" s="1248">
        <f t="shared" si="14"/>
        <v>39.37007874015748</v>
      </c>
      <c r="L109" s="1245"/>
      <c r="M109" s="1239"/>
    </row>
    <row r="110" spans="1:13" ht="15">
      <c r="A110" s="1246" t="s">
        <v>1518</v>
      </c>
      <c r="B110" s="1241" t="s">
        <v>1357</v>
      </c>
      <c r="C110" s="1241" t="s">
        <v>1519</v>
      </c>
      <c r="D110" s="1241" t="s">
        <v>1520</v>
      </c>
      <c r="E110" s="1242" t="s">
        <v>1521</v>
      </c>
      <c r="F110" s="1242" t="s">
        <v>1522</v>
      </c>
      <c r="G110" s="1241">
        <v>3</v>
      </c>
      <c r="H110" s="1241">
        <v>7</v>
      </c>
      <c r="I110" s="1241"/>
      <c r="J110" s="1247">
        <f t="shared" si="14"/>
        <v>5.905511811023622</v>
      </c>
      <c r="K110" s="1248">
        <f t="shared" si="14"/>
        <v>13.779527559055119</v>
      </c>
      <c r="L110" s="1245"/>
      <c r="M110" s="1239"/>
    </row>
    <row r="111" spans="1:13" ht="15">
      <c r="A111" s="1246" t="s">
        <v>1523</v>
      </c>
      <c r="B111" s="1241" t="s">
        <v>1524</v>
      </c>
      <c r="C111" s="1241" t="s">
        <v>1527</v>
      </c>
      <c r="D111" s="1241" t="s">
        <v>1500</v>
      </c>
      <c r="E111" s="1242" t="s">
        <v>1521</v>
      </c>
      <c r="F111" s="1242" t="s">
        <v>1522</v>
      </c>
      <c r="G111" s="1241">
        <v>3</v>
      </c>
      <c r="H111" s="1241">
        <v>7</v>
      </c>
      <c r="I111" s="1241"/>
      <c r="J111" s="1247">
        <f t="shared" si="14"/>
        <v>5.905511811023622</v>
      </c>
      <c r="K111" s="1248">
        <f t="shared" si="14"/>
        <v>13.779527559055119</v>
      </c>
      <c r="L111" s="1245"/>
      <c r="M111" s="1239"/>
    </row>
    <row r="112" spans="1:13" ht="15">
      <c r="A112" s="1246" t="s">
        <v>1529</v>
      </c>
      <c r="B112" s="1241" t="s">
        <v>1524</v>
      </c>
      <c r="C112" s="1241" t="s">
        <v>1519</v>
      </c>
      <c r="D112" s="1241" t="s">
        <v>1447</v>
      </c>
      <c r="E112" s="1242" t="s">
        <v>1521</v>
      </c>
      <c r="F112" s="1242" t="s">
        <v>1522</v>
      </c>
      <c r="G112" s="1241">
        <v>3</v>
      </c>
      <c r="H112" s="1241">
        <v>7</v>
      </c>
      <c r="I112" s="1241"/>
      <c r="J112" s="1247">
        <f t="shared" si="14"/>
        <v>5.905511811023622</v>
      </c>
      <c r="K112" s="1248">
        <f t="shared" si="14"/>
        <v>13.779527559055119</v>
      </c>
      <c r="L112" s="1245"/>
      <c r="M112" s="1239"/>
    </row>
    <row r="113" spans="1:13" ht="15">
      <c r="A113" s="1246"/>
      <c r="B113" s="1241"/>
      <c r="C113" s="1241"/>
      <c r="D113" s="1241"/>
      <c r="E113" s="1242"/>
      <c r="F113" s="1242"/>
      <c r="G113" s="1241"/>
      <c r="H113" s="1241"/>
      <c r="I113" s="1241"/>
      <c r="J113" s="1247"/>
      <c r="K113" s="1248"/>
      <c r="L113" s="1245"/>
      <c r="M113" s="1239"/>
    </row>
    <row r="114" spans="1:13" ht="15">
      <c r="A114" s="1240" t="s">
        <v>1530</v>
      </c>
      <c r="B114" s="1241"/>
      <c r="C114" s="1241"/>
      <c r="D114" s="1241"/>
      <c r="E114" s="1242"/>
      <c r="F114" s="1242"/>
      <c r="G114" s="1241"/>
      <c r="H114" s="1241"/>
      <c r="I114" s="1241"/>
      <c r="J114" s="1247"/>
      <c r="K114" s="1248"/>
      <c r="L114" s="1245"/>
      <c r="M114" s="1239"/>
    </row>
    <row r="115" spans="1:13" ht="15">
      <c r="A115" s="1246" t="s">
        <v>1531</v>
      </c>
      <c r="B115" s="1241" t="s">
        <v>1532</v>
      </c>
      <c r="C115" s="1241" t="s">
        <v>1512</v>
      </c>
      <c r="D115" s="1241" t="s">
        <v>1533</v>
      </c>
      <c r="E115" s="1242" t="s">
        <v>1305</v>
      </c>
      <c r="F115" s="1242" t="s">
        <v>1215</v>
      </c>
      <c r="G115" s="1241">
        <v>4</v>
      </c>
      <c r="H115" s="1241">
        <v>6</v>
      </c>
      <c r="I115" s="1241"/>
      <c r="J115" s="1247">
        <f aca="true" t="shared" si="15" ref="J115:K119">G115/0.508</f>
        <v>7.874015748031496</v>
      </c>
      <c r="K115" s="1248">
        <f t="shared" si="15"/>
        <v>11.811023622047244</v>
      </c>
      <c r="L115" s="1245" t="s">
        <v>1534</v>
      </c>
      <c r="M115" s="1239"/>
    </row>
    <row r="116" spans="1:13" ht="15">
      <c r="A116" s="1246" t="s">
        <v>1535</v>
      </c>
      <c r="B116" s="1241" t="s">
        <v>1532</v>
      </c>
      <c r="C116" s="1241" t="s">
        <v>1423</v>
      </c>
      <c r="D116" s="1241" t="s">
        <v>1533</v>
      </c>
      <c r="E116" s="1242" t="s">
        <v>1202</v>
      </c>
      <c r="F116" s="1242" t="s">
        <v>1322</v>
      </c>
      <c r="G116" s="1241">
        <v>10</v>
      </c>
      <c r="H116" s="1241">
        <v>14</v>
      </c>
      <c r="I116" s="1241"/>
      <c r="J116" s="1247">
        <f t="shared" si="15"/>
        <v>19.68503937007874</v>
      </c>
      <c r="K116" s="1248">
        <f t="shared" si="15"/>
        <v>27.559055118110237</v>
      </c>
      <c r="L116" s="1245" t="s">
        <v>428</v>
      </c>
      <c r="M116" s="1239"/>
    </row>
    <row r="117" spans="1:13" ht="15">
      <c r="A117" s="1246" t="s">
        <v>1536</v>
      </c>
      <c r="B117" s="1241" t="s">
        <v>1537</v>
      </c>
      <c r="C117" s="1241" t="s">
        <v>1256</v>
      </c>
      <c r="D117" s="1241" t="s">
        <v>1538</v>
      </c>
      <c r="E117" s="1242" t="s">
        <v>1539</v>
      </c>
      <c r="F117" s="1242" t="s">
        <v>1540</v>
      </c>
      <c r="G117" s="1241">
        <v>4.5</v>
      </c>
      <c r="H117" s="1241">
        <v>6</v>
      </c>
      <c r="I117" s="1241"/>
      <c r="J117" s="1247">
        <f t="shared" si="15"/>
        <v>8.858267716535433</v>
      </c>
      <c r="K117" s="1248">
        <f t="shared" si="15"/>
        <v>11.811023622047244</v>
      </c>
      <c r="L117" s="1245" t="s">
        <v>428</v>
      </c>
      <c r="M117" s="1239"/>
    </row>
    <row r="118" spans="1:13" ht="15">
      <c r="A118" s="1246" t="s">
        <v>1541</v>
      </c>
      <c r="B118" s="1241" t="s">
        <v>1542</v>
      </c>
      <c r="C118" s="1241" t="s">
        <v>1256</v>
      </c>
      <c r="D118" s="1241" t="s">
        <v>1543</v>
      </c>
      <c r="E118" s="1242" t="s">
        <v>1331</v>
      </c>
      <c r="F118" s="1242" t="s">
        <v>1215</v>
      </c>
      <c r="G118" s="1241">
        <v>4</v>
      </c>
      <c r="H118" s="1241">
        <v>6</v>
      </c>
      <c r="I118" s="1241"/>
      <c r="J118" s="1247">
        <f t="shared" si="15"/>
        <v>7.874015748031496</v>
      </c>
      <c r="K118" s="1248">
        <f t="shared" si="15"/>
        <v>11.811023622047244</v>
      </c>
      <c r="L118" s="1245" t="s">
        <v>428</v>
      </c>
      <c r="M118" s="1239"/>
    </row>
    <row r="119" spans="1:13" ht="15">
      <c r="A119" s="1246" t="s">
        <v>1544</v>
      </c>
      <c r="B119" s="1241" t="s">
        <v>1545</v>
      </c>
      <c r="C119" s="1241" t="s">
        <v>1546</v>
      </c>
      <c r="D119" s="1241" t="s">
        <v>1400</v>
      </c>
      <c r="E119" s="1242" t="s">
        <v>1547</v>
      </c>
      <c r="F119" s="1242" t="s">
        <v>1517</v>
      </c>
      <c r="G119" s="1241">
        <v>15</v>
      </c>
      <c r="H119" s="1241">
        <v>15</v>
      </c>
      <c r="I119" s="1241"/>
      <c r="J119" s="1247">
        <f t="shared" si="15"/>
        <v>29.52755905511811</v>
      </c>
      <c r="K119" s="1248">
        <f t="shared" si="15"/>
        <v>29.52755905511811</v>
      </c>
      <c r="L119" s="1245" t="s">
        <v>428</v>
      </c>
      <c r="M119" s="1239"/>
    </row>
    <row r="120" spans="1:13" ht="15">
      <c r="A120" s="1246"/>
      <c r="B120" s="1241"/>
      <c r="C120" s="1241"/>
      <c r="D120" s="1241"/>
      <c r="E120" s="1242"/>
      <c r="F120" s="1242"/>
      <c r="G120" s="1241"/>
      <c r="H120" s="1241"/>
      <c r="I120" s="1241"/>
      <c r="J120" s="1247"/>
      <c r="K120" s="1248"/>
      <c r="L120" s="1245"/>
      <c r="M120" s="1239"/>
    </row>
    <row r="121" spans="1:13" ht="15">
      <c r="A121" s="1240" t="s">
        <v>1548</v>
      </c>
      <c r="B121" s="1241"/>
      <c r="C121" s="1241"/>
      <c r="D121" s="1241"/>
      <c r="E121" s="1242"/>
      <c r="F121" s="1242"/>
      <c r="G121" s="1241"/>
      <c r="H121" s="1241"/>
      <c r="I121" s="1241"/>
      <c r="J121" s="1247"/>
      <c r="K121" s="1248"/>
      <c r="L121" s="1245"/>
      <c r="M121" s="1239"/>
    </row>
    <row r="122" spans="1:13" ht="15">
      <c r="A122" s="1246" t="s">
        <v>1549</v>
      </c>
      <c r="B122" s="1241" t="s">
        <v>1550</v>
      </c>
      <c r="C122" s="1241" t="s">
        <v>1551</v>
      </c>
      <c r="D122" s="1241" t="s">
        <v>1552</v>
      </c>
      <c r="E122" s="1242" t="s">
        <v>1553</v>
      </c>
      <c r="F122" s="1242" t="s">
        <v>1554</v>
      </c>
      <c r="G122" s="1241">
        <v>10</v>
      </c>
      <c r="H122" s="1241">
        <v>22</v>
      </c>
      <c r="I122" s="1241"/>
      <c r="J122" s="1247">
        <f aca="true" t="shared" si="16" ref="J122:K124">G122/0.508</f>
        <v>19.68503937007874</v>
      </c>
      <c r="K122" s="1248">
        <f t="shared" si="16"/>
        <v>43.30708661417323</v>
      </c>
      <c r="L122" s="1245"/>
      <c r="M122" s="1239"/>
    </row>
    <row r="123" spans="1:13" ht="15">
      <c r="A123" s="1246" t="s">
        <v>1555</v>
      </c>
      <c r="B123" s="1241" t="s">
        <v>1556</v>
      </c>
      <c r="C123" s="1241" t="s">
        <v>1365</v>
      </c>
      <c r="D123" s="1241" t="s">
        <v>1451</v>
      </c>
      <c r="E123" s="1242" t="s">
        <v>1557</v>
      </c>
      <c r="F123" s="1242" t="s">
        <v>1558</v>
      </c>
      <c r="G123" s="1241">
        <v>8</v>
      </c>
      <c r="H123" s="1241">
        <v>22</v>
      </c>
      <c r="I123" s="1241"/>
      <c r="J123" s="1247">
        <f t="shared" si="16"/>
        <v>15.748031496062993</v>
      </c>
      <c r="K123" s="1248">
        <f t="shared" si="16"/>
        <v>43.30708661417323</v>
      </c>
      <c r="L123" s="1245" t="s">
        <v>1559</v>
      </c>
      <c r="M123" s="1239"/>
    </row>
    <row r="124" spans="1:13" ht="15">
      <c r="A124" s="1246" t="s">
        <v>1560</v>
      </c>
      <c r="B124" s="1241" t="s">
        <v>1556</v>
      </c>
      <c r="C124" s="1241" t="s">
        <v>1561</v>
      </c>
      <c r="D124" s="1241" t="s">
        <v>1451</v>
      </c>
      <c r="E124" s="1242" t="s">
        <v>1562</v>
      </c>
      <c r="F124" s="1242" t="s">
        <v>1563</v>
      </c>
      <c r="G124" s="1241">
        <v>10</v>
      </c>
      <c r="H124" s="1241">
        <v>19</v>
      </c>
      <c r="I124" s="1241"/>
      <c r="J124" s="1247">
        <f t="shared" si="16"/>
        <v>19.68503937007874</v>
      </c>
      <c r="K124" s="1248">
        <f t="shared" si="16"/>
        <v>37.40157480314961</v>
      </c>
      <c r="L124" s="1245" t="s">
        <v>1564</v>
      </c>
      <c r="M124" s="1239"/>
    </row>
    <row r="125" spans="1:13" ht="15">
      <c r="A125" s="1246"/>
      <c r="B125" s="1241"/>
      <c r="C125" s="1241"/>
      <c r="D125" s="1241"/>
      <c r="E125" s="1242"/>
      <c r="F125" s="1242"/>
      <c r="G125" s="1241"/>
      <c r="H125" s="1241"/>
      <c r="I125" s="1241"/>
      <c r="J125" s="1247"/>
      <c r="K125" s="1248"/>
      <c r="L125" s="1245"/>
      <c r="M125" s="1239"/>
    </row>
    <row r="126" spans="1:13" ht="15">
      <c r="A126" s="1240" t="s">
        <v>1565</v>
      </c>
      <c r="B126" s="1241"/>
      <c r="C126" s="1241"/>
      <c r="D126" s="1241"/>
      <c r="E126" s="1242"/>
      <c r="F126" s="1242"/>
      <c r="G126" s="1241"/>
      <c r="H126" s="1241"/>
      <c r="I126" s="1241"/>
      <c r="J126" s="1247"/>
      <c r="K126" s="1248"/>
      <c r="L126" s="1245"/>
      <c r="M126" s="1239"/>
    </row>
    <row r="127" spans="1:13" ht="15">
      <c r="A127" s="1246" t="s">
        <v>1566</v>
      </c>
      <c r="B127" s="1241"/>
      <c r="C127" s="1241"/>
      <c r="D127" s="1241"/>
      <c r="E127" s="1242"/>
      <c r="F127" s="1242"/>
      <c r="G127" s="1241"/>
      <c r="H127" s="1241"/>
      <c r="I127" s="1241"/>
      <c r="J127" s="1247"/>
      <c r="K127" s="1248"/>
      <c r="L127" s="1245" t="s">
        <v>1488</v>
      </c>
      <c r="M127" s="1239"/>
    </row>
    <row r="128" spans="1:13" ht="15">
      <c r="A128" s="1246"/>
      <c r="B128" s="1241"/>
      <c r="C128" s="1241"/>
      <c r="D128" s="1241"/>
      <c r="E128" s="1242"/>
      <c r="F128" s="1242"/>
      <c r="G128" s="1241"/>
      <c r="H128" s="1241"/>
      <c r="I128" s="1241"/>
      <c r="J128" s="1247"/>
      <c r="K128" s="1248"/>
      <c r="L128" s="1245"/>
      <c r="M128" s="1239"/>
    </row>
    <row r="129" spans="1:13" ht="15">
      <c r="A129" s="1240" t="s">
        <v>1567</v>
      </c>
      <c r="B129" s="1241"/>
      <c r="C129" s="1241"/>
      <c r="D129" s="1241"/>
      <c r="E129" s="1242"/>
      <c r="F129" s="1242"/>
      <c r="G129" s="1241"/>
      <c r="H129" s="1241"/>
      <c r="I129" s="1241"/>
      <c r="J129" s="1247"/>
      <c r="K129" s="1248"/>
      <c r="L129" s="1245"/>
      <c r="M129" s="1239"/>
    </row>
    <row r="130" spans="1:13" ht="15">
      <c r="A130" s="1246" t="s">
        <v>1568</v>
      </c>
      <c r="B130" s="1251" t="s">
        <v>1566</v>
      </c>
      <c r="C130" s="1241"/>
      <c r="D130" s="1241"/>
      <c r="E130" s="1242"/>
      <c r="F130" s="1242"/>
      <c r="G130" s="1241"/>
      <c r="H130" s="1241"/>
      <c r="I130" s="1241"/>
      <c r="J130" s="1247"/>
      <c r="K130" s="1248"/>
      <c r="L130" s="1245" t="s">
        <v>1569</v>
      </c>
      <c r="M130" s="1239"/>
    </row>
    <row r="131" spans="1:13" ht="15">
      <c r="A131" s="1246" t="s">
        <v>1570</v>
      </c>
      <c r="B131" s="1251" t="s">
        <v>1566</v>
      </c>
      <c r="C131" s="1241"/>
      <c r="D131" s="1241"/>
      <c r="E131" s="1242"/>
      <c r="F131" s="1242"/>
      <c r="G131" s="1241"/>
      <c r="H131" s="1241"/>
      <c r="I131" s="1241"/>
      <c r="J131" s="1247"/>
      <c r="K131" s="1248"/>
      <c r="L131" s="1245" t="s">
        <v>1571</v>
      </c>
      <c r="M131" s="1239"/>
    </row>
    <row r="132" spans="1:13" ht="15">
      <c r="A132" s="1246"/>
      <c r="B132" s="1241"/>
      <c r="C132" s="1241"/>
      <c r="D132" s="1241"/>
      <c r="E132" s="1242"/>
      <c r="F132" s="1242"/>
      <c r="G132" s="1241"/>
      <c r="H132" s="1241"/>
      <c r="I132" s="1241"/>
      <c r="J132" s="1247"/>
      <c r="K132" s="1248"/>
      <c r="L132" s="1245"/>
      <c r="M132" s="1239"/>
    </row>
    <row r="133" spans="1:13" ht="15">
      <c r="A133" s="1240" t="s">
        <v>1572</v>
      </c>
      <c r="B133" s="1241"/>
      <c r="C133" s="1241"/>
      <c r="D133" s="1241"/>
      <c r="E133" s="1242"/>
      <c r="F133" s="1242"/>
      <c r="G133" s="1241"/>
      <c r="H133" s="1241"/>
      <c r="I133" s="1241"/>
      <c r="J133" s="1247"/>
      <c r="K133" s="1248"/>
      <c r="L133" s="1245"/>
      <c r="M133" s="1239"/>
    </row>
    <row r="134" spans="1:13" ht="15">
      <c r="A134" s="1246" t="s">
        <v>1573</v>
      </c>
      <c r="B134" s="1241" t="s">
        <v>1244</v>
      </c>
      <c r="C134" s="1241" t="s">
        <v>1404</v>
      </c>
      <c r="D134" s="1241" t="s">
        <v>1213</v>
      </c>
      <c r="E134" s="1242" t="s">
        <v>1305</v>
      </c>
      <c r="F134" s="1242" t="s">
        <v>1574</v>
      </c>
      <c r="G134" s="1241">
        <v>14</v>
      </c>
      <c r="H134" s="1241">
        <v>22</v>
      </c>
      <c r="I134" s="1241"/>
      <c r="J134" s="1247">
        <f>G134/0.508</f>
        <v>27.559055118110237</v>
      </c>
      <c r="K134" s="1248">
        <f>H134/0.508</f>
        <v>43.30708661417323</v>
      </c>
      <c r="L134" s="1245" t="s">
        <v>1575</v>
      </c>
      <c r="M134" s="1239"/>
    </row>
    <row r="135" spans="1:13" ht="15">
      <c r="A135" s="1246" t="s">
        <v>1576</v>
      </c>
      <c r="B135" s="1246" t="s">
        <v>1566</v>
      </c>
      <c r="C135" s="1246"/>
      <c r="D135" s="1246"/>
      <c r="E135" s="1252"/>
      <c r="F135" s="1252"/>
      <c r="G135" s="1246"/>
      <c r="H135" s="1246"/>
      <c r="I135" s="1246"/>
      <c r="J135" s="1253"/>
      <c r="K135" s="1254"/>
      <c r="L135" s="1245"/>
      <c r="M135" s="1239"/>
    </row>
    <row r="136" spans="1:13" ht="15">
      <c r="A136" s="1246" t="s">
        <v>1577</v>
      </c>
      <c r="B136" s="1246" t="s">
        <v>1504</v>
      </c>
      <c r="C136" s="1246"/>
      <c r="D136" s="1246"/>
      <c r="E136" s="1252"/>
      <c r="F136" s="1252"/>
      <c r="G136" s="1246"/>
      <c r="H136" s="1246"/>
      <c r="I136" s="1246"/>
      <c r="J136" s="1255"/>
      <c r="K136" s="1256"/>
      <c r="L136" s="1257" t="s">
        <v>421</v>
      </c>
      <c r="M136" s="1239"/>
    </row>
    <row r="137" spans="1:13" ht="15">
      <c r="A137" s="1246"/>
      <c r="B137" s="1246"/>
      <c r="C137" s="1246"/>
      <c r="D137" s="1246"/>
      <c r="E137" s="1252"/>
      <c r="F137" s="1252"/>
      <c r="G137" s="1246"/>
      <c r="H137" s="1246"/>
      <c r="I137" s="1246"/>
      <c r="J137" s="1254"/>
      <c r="K137" s="1254"/>
      <c r="L137" s="1258"/>
      <c r="M137" s="1239"/>
    </row>
    <row r="138" spans="1:13" ht="15">
      <c r="A138" s="1240" t="s">
        <v>1578</v>
      </c>
      <c r="B138" s="1246" t="s">
        <v>1504</v>
      </c>
      <c r="C138" s="1246"/>
      <c r="D138" s="1246"/>
      <c r="E138" s="1252"/>
      <c r="F138" s="1252"/>
      <c r="G138" s="1246"/>
      <c r="H138" s="1246"/>
      <c r="I138" s="1246"/>
      <c r="J138" s="1254"/>
      <c r="K138" s="1254"/>
      <c r="L138" s="1258"/>
      <c r="M138" s="1239"/>
    </row>
    <row r="139" spans="1:13" ht="12" customHeight="1">
      <c r="A139" s="1246"/>
      <c r="B139" s="1246"/>
      <c r="C139" s="1246"/>
      <c r="D139" s="1246"/>
      <c r="E139" s="1252"/>
      <c r="F139" s="1252"/>
      <c r="G139" s="1246"/>
      <c r="H139" s="1246"/>
      <c r="I139" s="1246"/>
      <c r="J139" s="1254"/>
      <c r="K139" s="1254"/>
      <c r="L139" s="1258"/>
      <c r="M139" s="1239"/>
    </row>
    <row r="140" spans="1:13" ht="15">
      <c r="A140" s="2881" t="s">
        <v>1579</v>
      </c>
      <c r="B140" s="2881"/>
      <c r="C140" s="2881"/>
      <c r="D140" s="2882" t="s">
        <v>1580</v>
      </c>
      <c r="E140" s="2882"/>
      <c r="F140" s="2882"/>
      <c r="G140" s="2882"/>
      <c r="H140" s="2882"/>
      <c r="I140" s="1246"/>
      <c r="J140" s="1259"/>
      <c r="K140" s="1259"/>
      <c r="L140" s="1246"/>
      <c r="M140" s="1239"/>
    </row>
    <row r="141" spans="1:13" ht="10.5" customHeight="1">
      <c r="A141" s="2195"/>
      <c r="B141" s="2195"/>
      <c r="C141" s="2195"/>
      <c r="D141" s="2195"/>
      <c r="E141" s="2196"/>
      <c r="F141" s="2196"/>
      <c r="G141" s="2195"/>
      <c r="H141" s="2195"/>
      <c r="I141" s="2195"/>
      <c r="J141" s="2195"/>
      <c r="K141" s="2195"/>
      <c r="L141" s="2195"/>
      <c r="M141" s="2197"/>
    </row>
    <row r="142" spans="1:13" ht="15">
      <c r="A142" s="1260" t="s">
        <v>991</v>
      </c>
      <c r="B142" s="2195"/>
      <c r="C142" s="2195"/>
      <c r="D142" s="2195"/>
      <c r="E142" s="2196"/>
      <c r="F142" s="2196"/>
      <c r="G142" s="2195"/>
      <c r="H142" s="2198"/>
      <c r="I142" s="2199"/>
      <c r="J142" s="1262"/>
      <c r="K142" s="1262"/>
      <c r="L142" s="1263"/>
      <c r="M142" s="2197"/>
    </row>
    <row r="143" spans="1:13" ht="15">
      <c r="A143" s="2873" t="s">
        <v>1581</v>
      </c>
      <c r="B143" s="2873"/>
      <c r="C143" s="2873"/>
      <c r="D143" s="2873"/>
      <c r="E143" s="2196"/>
      <c r="F143" s="2196"/>
      <c r="G143" s="2195"/>
      <c r="H143" s="2198"/>
      <c r="I143" s="2199"/>
      <c r="J143" s="1262"/>
      <c r="K143" s="1262"/>
      <c r="L143" s="1263"/>
      <c r="M143" s="2197"/>
    </row>
    <row r="144" spans="1:13" ht="15">
      <c r="A144" s="1261"/>
      <c r="B144" s="1261"/>
      <c r="C144" s="2195"/>
      <c r="D144" s="2195"/>
      <c r="E144" s="2196"/>
      <c r="F144" s="2196"/>
      <c r="G144" s="2195"/>
      <c r="H144" s="2198"/>
      <c r="I144" s="2199"/>
      <c r="J144" s="1262"/>
      <c r="K144" s="1262"/>
      <c r="L144" s="1263"/>
      <c r="M144" s="2197"/>
    </row>
    <row r="145" spans="1:13" ht="13.5">
      <c r="A145" s="2200"/>
      <c r="B145" s="2200"/>
      <c r="C145" s="2200"/>
      <c r="D145" s="2200"/>
      <c r="E145" s="2201"/>
      <c r="F145" s="2201"/>
      <c r="G145" s="2200"/>
      <c r="H145" s="2200"/>
      <c r="I145" s="2200"/>
      <c r="J145" s="2200"/>
      <c r="K145" s="2200"/>
      <c r="L145" s="2200"/>
      <c r="M145" s="2202"/>
    </row>
    <row r="146" spans="1:13" ht="13.5">
      <c r="A146" s="2200"/>
      <c r="B146" s="2200"/>
      <c r="C146" s="2200"/>
      <c r="D146" s="2200"/>
      <c r="E146" s="2201"/>
      <c r="F146" s="2201"/>
      <c r="G146" s="2200"/>
      <c r="H146" s="2200"/>
      <c r="I146" s="2200"/>
      <c r="J146" s="2200"/>
      <c r="K146" s="2200"/>
      <c r="L146" s="2200"/>
      <c r="M146" s="2202"/>
    </row>
  </sheetData>
  <sheetProtection password="E540" sheet="1" objects="1" scenarios="1"/>
  <mergeCells count="7">
    <mergeCell ref="D1:G1"/>
    <mergeCell ref="A143:D143"/>
    <mergeCell ref="J12:L12"/>
    <mergeCell ref="J13:K13"/>
    <mergeCell ref="E13:E14"/>
    <mergeCell ref="A140:C140"/>
    <mergeCell ref="D140:H140"/>
  </mergeCells>
  <hyperlinks>
    <hyperlink ref="D140" r:id="rId1" display="www.bjcp.org/stylecenter.php"/>
  </hyperlinks>
  <printOptions horizontalCentered="1"/>
  <pageMargins left="0.52" right="0.44" top="0.4330708661417323" bottom="0.57" header="0.31496062992125984" footer="0.57"/>
  <pageSetup fitToHeight="2" horizontalDpi="300" verticalDpi="300" orientation="portrait" paperSize="9" scale="61" r:id="rId3"/>
  <rowBreaks count="1" manualBreakCount="1">
    <brk id="79" max="11" man="1"/>
  </rowBreaks>
  <drawing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AU286"/>
  <sheetViews>
    <sheetView zoomScale="75" zoomScaleNormal="75" zoomScaleSheetLayoutView="100" zoomScalePageLayoutView="0" workbookViewId="0" topLeftCell="A1">
      <pane ySplit="7" topLeftCell="BM8" activePane="bottomLeft" state="frozen"/>
      <selection pane="topLeft" activeCell="A1" sqref="A1"/>
      <selection pane="bottomLeft" activeCell="L11" sqref="L11"/>
    </sheetView>
  </sheetViews>
  <sheetFormatPr defaultColWidth="9.140625" defaultRowHeight="15"/>
  <cols>
    <col min="1" max="1" width="1.1484375" style="650" customWidth="1"/>
    <col min="2" max="2" width="7.00390625" style="650" customWidth="1"/>
    <col min="3" max="3" width="22.421875" style="650" customWidth="1"/>
    <col min="4" max="4" width="10.7109375" style="650" customWidth="1"/>
    <col min="5" max="6" width="5.28125" style="650" customWidth="1"/>
    <col min="7" max="7" width="9.7109375" style="650" customWidth="1"/>
    <col min="8" max="8" width="6.8515625" style="650" hidden="1" customWidth="1"/>
    <col min="9" max="9" width="8.8515625" style="650" customWidth="1"/>
    <col min="10" max="10" width="8.7109375" style="650" customWidth="1"/>
    <col min="11" max="11" width="8.140625" style="650" customWidth="1"/>
    <col min="12" max="12" width="7.7109375" style="650" customWidth="1"/>
    <col min="13" max="13" width="7.28125" style="650" customWidth="1"/>
    <col min="14" max="15" width="7.140625" style="650" customWidth="1"/>
    <col min="16" max="16" width="7.28125" style="650" customWidth="1"/>
    <col min="17" max="18" width="7.7109375" style="650" customWidth="1"/>
    <col min="19" max="19" width="7.140625" style="650" customWidth="1"/>
    <col min="20" max="20" width="5.28125" style="650" customWidth="1"/>
    <col min="21" max="21" width="6.140625" style="650" customWidth="1"/>
    <col min="22" max="22" width="6.57421875" style="650" customWidth="1"/>
    <col min="23" max="23" width="2.28125" style="650" customWidth="1"/>
    <col min="24" max="35" width="6.57421875" style="650" customWidth="1"/>
    <col min="36" max="42" width="6.57421875" style="650" hidden="1" customWidth="1"/>
    <col min="43" max="46" width="6.57421875" style="650" customWidth="1"/>
    <col min="47" max="47" width="6.28125" style="650" customWidth="1"/>
    <col min="48" max="16384" width="8.8515625" style="2258" customWidth="1"/>
  </cols>
  <sheetData>
    <row r="1" spans="1:47" ht="17.25">
      <c r="A1" s="641"/>
      <c r="B1" s="642"/>
      <c r="C1" s="643"/>
      <c r="D1" s="644"/>
      <c r="E1" s="644"/>
      <c r="F1" s="644"/>
      <c r="G1" s="644"/>
      <c r="H1" s="644"/>
      <c r="I1" s="3042" t="s">
        <v>1528</v>
      </c>
      <c r="J1" s="3042"/>
      <c r="K1" s="3042"/>
      <c r="L1" s="3042"/>
      <c r="M1" s="2154"/>
      <c r="N1" s="2154"/>
      <c r="O1" s="644"/>
      <c r="P1" s="644"/>
      <c r="Q1" s="644"/>
      <c r="R1" s="644"/>
      <c r="S1" s="644"/>
      <c r="T1" s="644"/>
      <c r="U1" s="2551" t="s">
        <v>731</v>
      </c>
      <c r="V1" s="2551"/>
      <c r="W1" s="645"/>
      <c r="X1" s="3045" t="s">
        <v>997</v>
      </c>
      <c r="Y1" s="3045"/>
      <c r="Z1" s="3045"/>
      <c r="AA1" s="3045"/>
      <c r="AB1" s="3045"/>
      <c r="AC1" s="3045"/>
      <c r="AD1" s="3045"/>
      <c r="AE1" s="3045"/>
      <c r="AF1" s="3045"/>
      <c r="AG1" s="3045"/>
      <c r="AH1" s="3045"/>
      <c r="AI1" s="3045"/>
      <c r="AJ1" s="3045"/>
      <c r="AK1" s="3045"/>
      <c r="AL1" s="3045"/>
      <c r="AM1" s="3045"/>
      <c r="AN1" s="3045"/>
      <c r="AO1" s="3045"/>
      <c r="AP1" s="3045"/>
      <c r="AQ1" s="3045"/>
      <c r="AR1" s="3045"/>
      <c r="AS1" s="3045"/>
      <c r="AT1" s="3045"/>
      <c r="AU1" s="720"/>
    </row>
    <row r="2" spans="1:47" ht="12" customHeight="1">
      <c r="A2" s="3096" t="s">
        <v>513</v>
      </c>
      <c r="B2" s="3096"/>
      <c r="C2" s="1268"/>
      <c r="D2" s="644"/>
      <c r="E2" s="644"/>
      <c r="F2" s="644"/>
      <c r="G2" s="644"/>
      <c r="H2" s="1573"/>
      <c r="I2" s="644"/>
      <c r="J2" s="644"/>
      <c r="K2" s="644"/>
      <c r="L2" s="644"/>
      <c r="M2" s="644"/>
      <c r="N2" s="644"/>
      <c r="O2" s="644"/>
      <c r="P2" s="651"/>
      <c r="Q2" s="231"/>
      <c r="R2" s="961"/>
      <c r="S2" s="2990" t="s">
        <v>319</v>
      </c>
      <c r="T2" s="2990"/>
      <c r="U2" s="2990"/>
      <c r="V2" s="2990"/>
      <c r="W2" s="651"/>
      <c r="X2" s="3048" t="s">
        <v>877</v>
      </c>
      <c r="Y2" s="3049"/>
      <c r="Z2" s="2975" t="s">
        <v>878</v>
      </c>
      <c r="AA2" s="2976"/>
      <c r="AB2" s="2975" t="s">
        <v>879</v>
      </c>
      <c r="AC2" s="2976"/>
      <c r="AD2" s="2975" t="s">
        <v>880</v>
      </c>
      <c r="AE2" s="2976"/>
      <c r="AF2" s="2975" t="s">
        <v>881</v>
      </c>
      <c r="AG2" s="2987"/>
      <c r="AH2" s="2975" t="s">
        <v>882</v>
      </c>
      <c r="AI2" s="2987"/>
      <c r="AJ2" s="869"/>
      <c r="AK2" s="870"/>
      <c r="AL2" s="871"/>
      <c r="AM2" s="872"/>
      <c r="AN2" s="872"/>
      <c r="AO2" s="872"/>
      <c r="AP2" s="872"/>
      <c r="AQ2" s="2975" t="s">
        <v>883</v>
      </c>
      <c r="AR2" s="2976"/>
      <c r="AS2" s="2975" t="s">
        <v>884</v>
      </c>
      <c r="AT2" s="2976"/>
      <c r="AU2" s="977"/>
    </row>
    <row r="3" spans="1:47" ht="13.5" customHeight="1">
      <c r="A3" s="3097" t="s">
        <v>885</v>
      </c>
      <c r="B3" s="3097"/>
      <c r="C3" s="3097"/>
      <c r="D3" s="3097"/>
      <c r="E3" s="651"/>
      <c r="F3" s="231"/>
      <c r="G3" s="231" t="s">
        <v>886</v>
      </c>
      <c r="H3" s="1572"/>
      <c r="I3" s="3041"/>
      <c r="J3" s="3041"/>
      <c r="K3" s="3041"/>
      <c r="L3" s="3041"/>
      <c r="M3" s="3041"/>
      <c r="N3" s="3041"/>
      <c r="O3" s="644"/>
      <c r="P3" s="1748"/>
      <c r="Q3" s="3039" t="s">
        <v>661</v>
      </c>
      <c r="R3" s="3039"/>
      <c r="S3" s="3039"/>
      <c r="T3" s="3039"/>
      <c r="U3" s="3039"/>
      <c r="V3" s="3039"/>
      <c r="W3" s="651"/>
      <c r="X3" s="3050"/>
      <c r="Y3" s="3051"/>
      <c r="Z3" s="2977"/>
      <c r="AA3" s="2978"/>
      <c r="AB3" s="2977"/>
      <c r="AC3" s="2978"/>
      <c r="AD3" s="2977"/>
      <c r="AE3" s="2978"/>
      <c r="AF3" s="2977"/>
      <c r="AG3" s="2988"/>
      <c r="AH3" s="2977"/>
      <c r="AI3" s="2988"/>
      <c r="AJ3" s="873"/>
      <c r="AK3" s="874"/>
      <c r="AL3" s="874"/>
      <c r="AM3" s="875"/>
      <c r="AN3" s="875"/>
      <c r="AO3" s="875"/>
      <c r="AP3" s="875"/>
      <c r="AQ3" s="2977"/>
      <c r="AR3" s="2978"/>
      <c r="AS3" s="2977"/>
      <c r="AT3" s="2978"/>
      <c r="AU3" s="977"/>
    </row>
    <row r="4" spans="1:47" ht="13.5" customHeight="1">
      <c r="A4" s="641"/>
      <c r="B4" s="2906" t="s">
        <v>887</v>
      </c>
      <c r="C4" s="2906"/>
      <c r="D4" s="858">
        <f>1000+(G184-1000)*(G182/G181)</f>
        <v>1074.9891228752526</v>
      </c>
      <c r="E4" s="876"/>
      <c r="F4" s="651"/>
      <c r="G4" s="797" t="s">
        <v>326</v>
      </c>
      <c r="H4" s="797"/>
      <c r="I4" s="3040" t="str">
        <f>FIXED(G186*G183/G178,1)&amp;"% ABV"</f>
        <v>10.8% ABV</v>
      </c>
      <c r="J4" s="3040"/>
      <c r="K4" s="3040"/>
      <c r="L4" s="3040"/>
      <c r="M4" s="3040"/>
      <c r="N4" s="3040"/>
      <c r="O4" s="644"/>
      <c r="P4" s="1749"/>
      <c r="Q4" s="3039"/>
      <c r="R4" s="3039"/>
      <c r="S4" s="3039"/>
      <c r="T4" s="3039"/>
      <c r="U4" s="3039"/>
      <c r="V4" s="3039"/>
      <c r="W4" s="651"/>
      <c r="X4" s="3052" t="s">
        <v>888</v>
      </c>
      <c r="Y4" s="3053"/>
      <c r="Z4" s="2993" t="s">
        <v>889</v>
      </c>
      <c r="AA4" s="2994"/>
      <c r="AB4" s="2993" t="s">
        <v>890</v>
      </c>
      <c r="AC4" s="2994"/>
      <c r="AD4" s="2993" t="s">
        <v>891</v>
      </c>
      <c r="AE4" s="2994"/>
      <c r="AF4" s="2993" t="s">
        <v>892</v>
      </c>
      <c r="AG4" s="2994"/>
      <c r="AH4" s="2962" t="s">
        <v>893</v>
      </c>
      <c r="AI4" s="3054"/>
      <c r="AJ4" s="2175"/>
      <c r="AK4" s="2175"/>
      <c r="AL4" s="2175"/>
      <c r="AM4" s="2175"/>
      <c r="AN4" s="2175"/>
      <c r="AO4" s="2175"/>
      <c r="AP4" s="2175"/>
      <c r="AQ4" s="2962" t="s">
        <v>894</v>
      </c>
      <c r="AR4" s="2963"/>
      <c r="AS4" s="2962" t="s">
        <v>894</v>
      </c>
      <c r="AT4" s="2963"/>
      <c r="AU4" s="977"/>
    </row>
    <row r="5" spans="1:47" ht="12.75" customHeight="1">
      <c r="A5" s="641"/>
      <c r="B5" s="2906" t="s">
        <v>895</v>
      </c>
      <c r="C5" s="2906"/>
      <c r="D5" s="858">
        <f>1000+(G185-1000)*(G182/G181)</f>
        <v>994.0055831056533</v>
      </c>
      <c r="E5" s="876"/>
      <c r="F5" s="651"/>
      <c r="G5" s="793" t="s">
        <v>327</v>
      </c>
      <c r="H5" s="793"/>
      <c r="I5" s="3093" t="str">
        <f>FIXED(L185*G$183/G$178)&amp;"% &amp; is expressed in terms of the tartaric equvalent."</f>
        <v>0.80% &amp; is expressed in terms of the tartaric equvalent.</v>
      </c>
      <c r="J5" s="3093"/>
      <c r="K5" s="3093"/>
      <c r="L5" s="3093"/>
      <c r="M5" s="3093"/>
      <c r="N5" s="3093"/>
      <c r="O5" s="644"/>
      <c r="P5" s="1750"/>
      <c r="Q5" s="2991" t="s">
        <v>692</v>
      </c>
      <c r="R5" s="2992"/>
      <c r="S5" s="2992"/>
      <c r="T5" s="2992"/>
      <c r="U5" s="2992"/>
      <c r="V5" s="2992"/>
      <c r="W5" s="651"/>
      <c r="X5" s="3085" t="s">
        <v>896</v>
      </c>
      <c r="Y5" s="3086"/>
      <c r="Z5" s="2962" t="s">
        <v>897</v>
      </c>
      <c r="AA5" s="2963"/>
      <c r="AB5" s="2962" t="s">
        <v>898</v>
      </c>
      <c r="AC5" s="2963"/>
      <c r="AD5" s="2962" t="s">
        <v>899</v>
      </c>
      <c r="AE5" s="2963"/>
      <c r="AF5" s="2962" t="s">
        <v>900</v>
      </c>
      <c r="AG5" s="2963"/>
      <c r="AH5" s="2962" t="s">
        <v>901</v>
      </c>
      <c r="AI5" s="3054"/>
      <c r="AJ5" s="2175"/>
      <c r="AK5" s="2175"/>
      <c r="AL5" s="2175"/>
      <c r="AM5" s="2175"/>
      <c r="AN5" s="2175"/>
      <c r="AO5" s="2175"/>
      <c r="AP5" s="2175"/>
      <c r="AQ5" s="2962" t="s">
        <v>902</v>
      </c>
      <c r="AR5" s="2963"/>
      <c r="AS5" s="2962" t="s">
        <v>903</v>
      </c>
      <c r="AT5" s="2963"/>
      <c r="AU5" s="977"/>
    </row>
    <row r="6" spans="1:47" ht="12.75" customHeight="1">
      <c r="A6" s="641"/>
      <c r="B6" s="2906" t="s">
        <v>904</v>
      </c>
      <c r="C6" s="2906"/>
      <c r="D6" s="858">
        <f>G185+H174</f>
        <v>994.0055831056533</v>
      </c>
      <c r="E6" s="876"/>
      <c r="F6" s="651"/>
      <c r="G6" s="797" t="s">
        <v>328</v>
      </c>
      <c r="H6" s="797"/>
      <c r="I6" s="3093" t="str">
        <f>FIXED(L186*G$183/G$178)&amp;"%"</f>
        <v>0.07%</v>
      </c>
      <c r="J6" s="3093"/>
      <c r="K6" s="3093"/>
      <c r="L6" s="3093"/>
      <c r="M6" s="3093"/>
      <c r="N6" s="3093"/>
      <c r="O6" s="644"/>
      <c r="P6"/>
      <c r="Q6" s="231"/>
      <c r="R6" s="961"/>
      <c r="S6" s="961"/>
      <c r="T6" s="961"/>
      <c r="U6" s="961"/>
      <c r="V6" s="961"/>
      <c r="W6" s="651"/>
      <c r="X6" s="3085" t="s">
        <v>905</v>
      </c>
      <c r="Y6" s="3086"/>
      <c r="Z6" s="2962" t="s">
        <v>906</v>
      </c>
      <c r="AA6" s="2963"/>
      <c r="AB6" s="2962" t="s">
        <v>907</v>
      </c>
      <c r="AC6" s="2963"/>
      <c r="AD6" s="2962" t="s">
        <v>908</v>
      </c>
      <c r="AE6" s="2963"/>
      <c r="AF6" s="2962" t="s">
        <v>906</v>
      </c>
      <c r="AG6" s="2963"/>
      <c r="AH6" s="2962" t="s">
        <v>909</v>
      </c>
      <c r="AI6" s="3054"/>
      <c r="AJ6" s="2175"/>
      <c r="AK6" s="2175"/>
      <c r="AL6" s="2175"/>
      <c r="AM6" s="2175"/>
      <c r="AN6" s="2175"/>
      <c r="AO6" s="2175"/>
      <c r="AP6" s="2175"/>
      <c r="AQ6" s="2962" t="s">
        <v>910</v>
      </c>
      <c r="AR6" s="2963"/>
      <c r="AS6" s="2962" t="s">
        <v>910</v>
      </c>
      <c r="AT6" s="2963"/>
      <c r="AU6" s="977"/>
    </row>
    <row r="7" spans="1:47" ht="12.75" customHeight="1">
      <c r="A7" s="641"/>
      <c r="B7" s="2906" t="s">
        <v>15</v>
      </c>
      <c r="C7" s="2906"/>
      <c r="D7" s="1591">
        <v>4.5</v>
      </c>
      <c r="E7" s="3099" t="str">
        <f>"/"&amp;FIXED(G182)&amp;" litres"</f>
        <v>/4.85 litres</v>
      </c>
      <c r="F7" s="3099"/>
      <c r="G7" s="880" t="s">
        <v>912</v>
      </c>
      <c r="H7" s="880"/>
      <c r="I7" s="3095" t="str">
        <f>IF(D6&gt;1020,"Dessert",IF(D6&gt;1015,"Sweet",IF(D6&gt;1010,"Medium Sweet",IF(D6&gt;1005,"Medium",IF(D6&gt;998,"Medium dry",IF(D6&gt;0,"Dry"))))))</f>
        <v>Dry</v>
      </c>
      <c r="J7" s="3095"/>
      <c r="K7" s="3095"/>
      <c r="L7" s="3095"/>
      <c r="M7" s="3095"/>
      <c r="N7" s="3095"/>
      <c r="O7" s="644"/>
      <c r="P7" s="651"/>
      <c r="Q7" s="231"/>
      <c r="R7" s="961"/>
      <c r="S7" s="961"/>
      <c r="T7" s="961"/>
      <c r="U7" s="1298" t="s">
        <v>1133</v>
      </c>
      <c r="V7" s="967" t="s">
        <v>290</v>
      </c>
      <c r="W7" s="651"/>
      <c r="X7" s="3091" t="s">
        <v>912</v>
      </c>
      <c r="Y7" s="3092"/>
      <c r="Z7" s="2973" t="s">
        <v>318</v>
      </c>
      <c r="AA7" s="2974"/>
      <c r="AB7" s="2973" t="s">
        <v>913</v>
      </c>
      <c r="AC7" s="2974"/>
      <c r="AD7" s="2973" t="s">
        <v>914</v>
      </c>
      <c r="AE7" s="2974"/>
      <c r="AF7" s="2973" t="s">
        <v>915</v>
      </c>
      <c r="AG7" s="2974"/>
      <c r="AH7" s="2973" t="s">
        <v>851</v>
      </c>
      <c r="AI7" s="3057"/>
      <c r="AJ7" s="2176"/>
      <c r="AK7" s="2176"/>
      <c r="AL7" s="2176"/>
      <c r="AM7" s="2176"/>
      <c r="AN7" s="2176"/>
      <c r="AO7" s="2176"/>
      <c r="AP7" s="2176"/>
      <c r="AQ7" s="2973" t="s">
        <v>916</v>
      </c>
      <c r="AR7" s="2974"/>
      <c r="AS7" s="2973" t="s">
        <v>916</v>
      </c>
      <c r="AT7" s="2974"/>
      <c r="AU7" s="977"/>
    </row>
    <row r="8" spans="1:47" ht="13.5">
      <c r="A8" s="641"/>
      <c r="B8" s="902"/>
      <c r="C8" s="2272" t="s">
        <v>662</v>
      </c>
      <c r="D8" s="2272"/>
      <c r="E8" s="2272"/>
      <c r="F8" s="2272"/>
      <c r="G8" s="2272"/>
      <c r="H8" s="2272"/>
      <c r="I8" s="2272"/>
      <c r="J8" s="2272"/>
      <c r="K8" s="880"/>
      <c r="L8" s="881"/>
      <c r="M8" s="1931"/>
      <c r="N8" s="644"/>
      <c r="O8" s="644"/>
      <c r="P8" s="1931"/>
      <c r="Q8" s="231"/>
      <c r="R8" s="961"/>
      <c r="S8" s="961"/>
      <c r="T8" s="961"/>
      <c r="U8" s="968">
        <v>0.1</v>
      </c>
      <c r="V8" s="969">
        <f aca="true" t="shared" si="0" ref="V8:V14">U8*28.3495</f>
        <v>2.83495</v>
      </c>
      <c r="W8" s="651"/>
      <c r="X8" s="3094" t="s">
        <v>918</v>
      </c>
      <c r="Y8" s="3094"/>
      <c r="Z8" s="3094"/>
      <c r="AA8" s="3094"/>
      <c r="AB8" s="3094"/>
      <c r="AC8" s="3094"/>
      <c r="AD8" s="3094"/>
      <c r="AE8" s="3094"/>
      <c r="AF8" s="3094"/>
      <c r="AG8" s="3094"/>
      <c r="AH8" s="3094"/>
      <c r="AI8" s="3094"/>
      <c r="AJ8" s="3094"/>
      <c r="AK8" s="3094"/>
      <c r="AL8" s="3094"/>
      <c r="AM8" s="3094"/>
      <c r="AN8" s="3094"/>
      <c r="AO8" s="3094"/>
      <c r="AP8" s="3094"/>
      <c r="AQ8" s="3094"/>
      <c r="AR8" s="3094"/>
      <c r="AS8" s="3094"/>
      <c r="AT8" s="3094"/>
      <c r="AU8" s="977"/>
    </row>
    <row r="9" spans="1:47" ht="13.5">
      <c r="A9" s="641"/>
      <c r="B9" s="1932"/>
      <c r="C9" s="1931"/>
      <c r="D9" s="644"/>
      <c r="E9" s="644"/>
      <c r="F9" s="644"/>
      <c r="G9" s="888"/>
      <c r="H9" s="1933"/>
      <c r="I9" s="1934"/>
      <c r="J9" s="880"/>
      <c r="K9" s="880"/>
      <c r="L9" s="881"/>
      <c r="M9" s="1931"/>
      <c r="N9" s="644"/>
      <c r="O9" s="644"/>
      <c r="P9" s="1931"/>
      <c r="Q9" s="231"/>
      <c r="R9" s="961"/>
      <c r="S9" s="654"/>
      <c r="T9" s="654"/>
      <c r="U9" s="968">
        <f aca="true" t="shared" si="1" ref="U9:U14">U8+0.1</f>
        <v>0.2</v>
      </c>
      <c r="V9" s="969">
        <f t="shared" si="0"/>
        <v>5.6699</v>
      </c>
      <c r="W9" s="655"/>
      <c r="AF9" s="646"/>
      <c r="AG9" s="646"/>
      <c r="AH9" s="646"/>
      <c r="AI9" s="648"/>
      <c r="AJ9" s="652"/>
      <c r="AK9" s="652"/>
      <c r="AL9" s="652"/>
      <c r="AM9" s="720"/>
      <c r="AN9" s="720"/>
      <c r="AO9" s="720"/>
      <c r="AP9" s="720"/>
      <c r="AQ9" s="751"/>
      <c r="AR9" s="979"/>
      <c r="AS9" s="978"/>
      <c r="AT9" s="977"/>
      <c r="AU9" s="977"/>
    </row>
    <row r="10" spans="1:47" ht="12.75" customHeight="1">
      <c r="A10" s="641"/>
      <c r="B10" s="902"/>
      <c r="C10" s="656"/>
      <c r="D10" s="644"/>
      <c r="E10" s="644"/>
      <c r="F10" s="644"/>
      <c r="G10" s="1935" t="s">
        <v>105</v>
      </c>
      <c r="H10" s="1691"/>
      <c r="I10" s="1935" t="s">
        <v>272</v>
      </c>
      <c r="J10" s="1935" t="s">
        <v>290</v>
      </c>
      <c r="K10" s="957"/>
      <c r="L10" s="1936" t="s">
        <v>162</v>
      </c>
      <c r="M10" s="1937" t="s">
        <v>367</v>
      </c>
      <c r="N10" s="1936" t="s">
        <v>161</v>
      </c>
      <c r="O10" s="957"/>
      <c r="P10" s="1936" t="s">
        <v>160</v>
      </c>
      <c r="Q10" s="1937" t="s">
        <v>117</v>
      </c>
      <c r="R10" s="2249" t="s">
        <v>511</v>
      </c>
      <c r="S10" s="654"/>
      <c r="T10" s="654"/>
      <c r="U10" s="968">
        <f t="shared" si="1"/>
        <v>0.30000000000000004</v>
      </c>
      <c r="V10" s="969">
        <f t="shared" si="0"/>
        <v>8.504850000000001</v>
      </c>
      <c r="W10" s="654"/>
      <c r="X10" s="646"/>
      <c r="Y10" s="647" t="s">
        <v>691</v>
      </c>
      <c r="Z10" s="646"/>
      <c r="AA10" s="646"/>
      <c r="AB10" s="646"/>
      <c r="AC10" s="646"/>
      <c r="AD10" s="646"/>
      <c r="AE10" s="659" t="s">
        <v>693</v>
      </c>
      <c r="AF10" s="659" t="s">
        <v>694</v>
      </c>
      <c r="AG10" s="660" t="s">
        <v>695</v>
      </c>
      <c r="AH10" s="659" t="s">
        <v>696</v>
      </c>
      <c r="AI10" s="646"/>
      <c r="AJ10" s="661" t="s">
        <v>697</v>
      </c>
      <c r="AK10" s="652"/>
      <c r="AL10" s="652"/>
      <c r="AM10" s="720"/>
      <c r="AN10" s="720"/>
      <c r="AO10" s="720"/>
      <c r="AP10" s="720"/>
      <c r="AQ10" s="720"/>
      <c r="AR10" s="720"/>
      <c r="AS10" s="720"/>
      <c r="AT10" s="720"/>
      <c r="AU10" s="720"/>
    </row>
    <row r="11" spans="1:38" ht="12.75" customHeight="1">
      <c r="A11" s="641"/>
      <c r="B11" s="902"/>
      <c r="C11" s="656"/>
      <c r="D11" s="644"/>
      <c r="E11" s="644"/>
      <c r="F11" s="644"/>
      <c r="G11" s="958">
        <f>I11/28.3495</f>
        <v>18.44829714809785</v>
      </c>
      <c r="H11" s="1691"/>
      <c r="I11" s="1692">
        <v>523</v>
      </c>
      <c r="J11" s="959">
        <f>I11*28.3495</f>
        <v>14826.788499999999</v>
      </c>
      <c r="K11" s="957"/>
      <c r="L11" s="1693">
        <v>1</v>
      </c>
      <c r="M11" s="960">
        <f>L11*3.7854*6/5</f>
        <v>4.54248</v>
      </c>
      <c r="N11" s="960">
        <f>L11*8</f>
        <v>8</v>
      </c>
      <c r="O11" s="957"/>
      <c r="P11" s="1694">
        <v>2</v>
      </c>
      <c r="Q11" s="960">
        <f>3.7854*P11</f>
        <v>7.5708</v>
      </c>
      <c r="R11" s="960">
        <f>P11*8</f>
        <v>16</v>
      </c>
      <c r="S11" s="644"/>
      <c r="T11" s="654"/>
      <c r="U11" s="968">
        <f t="shared" si="1"/>
        <v>0.4</v>
      </c>
      <c r="V11" s="969">
        <f t="shared" si="0"/>
        <v>11.3398</v>
      </c>
      <c r="W11" s="654"/>
      <c r="X11" s="646"/>
      <c r="Y11" s="646"/>
      <c r="Z11" s="646"/>
      <c r="AA11" s="646"/>
      <c r="AB11" s="646"/>
      <c r="AC11" s="646"/>
      <c r="AD11" s="646"/>
      <c r="AE11" s="662"/>
      <c r="AF11" s="662"/>
      <c r="AG11" s="663"/>
      <c r="AH11" s="664"/>
      <c r="AI11" s="646"/>
      <c r="AJ11" s="661"/>
      <c r="AK11" s="652"/>
      <c r="AL11" s="653"/>
    </row>
    <row r="12" spans="1:38" ht="13.5">
      <c r="A12" s="641"/>
      <c r="B12" s="3058" t="s">
        <v>993</v>
      </c>
      <c r="C12" s="3058"/>
      <c r="D12" s="3058"/>
      <c r="E12" s="3058"/>
      <c r="F12" s="3058"/>
      <c r="G12" s="3058"/>
      <c r="H12" s="666"/>
      <c r="I12" s="3087"/>
      <c r="J12" s="3088"/>
      <c r="K12" s="3088"/>
      <c r="L12" s="3088"/>
      <c r="M12" s="3088"/>
      <c r="N12" s="3088"/>
      <c r="O12" s="3088"/>
      <c r="P12" s="3088"/>
      <c r="Q12" s="3088"/>
      <c r="R12" s="3088"/>
      <c r="S12" s="3088"/>
      <c r="T12" s="654"/>
      <c r="U12" s="968">
        <f t="shared" si="1"/>
        <v>0.5</v>
      </c>
      <c r="V12" s="969">
        <f t="shared" si="0"/>
        <v>14.17475</v>
      </c>
      <c r="W12" s="667"/>
      <c r="X12" s="3046"/>
      <c r="Y12" s="3047"/>
      <c r="Z12" s="3047"/>
      <c r="AA12" s="3047"/>
      <c r="AB12" s="3047"/>
      <c r="AC12" s="3047"/>
      <c r="AD12" s="3047"/>
      <c r="AE12" s="3047"/>
      <c r="AF12" s="3047"/>
      <c r="AG12" s="3047"/>
      <c r="AH12" s="3047"/>
      <c r="AI12" s="668"/>
      <c r="AJ12" s="668"/>
      <c r="AK12" s="668"/>
      <c r="AL12" s="653"/>
    </row>
    <row r="13" spans="1:42" ht="13.5">
      <c r="A13" s="641"/>
      <c r="B13" s="902"/>
      <c r="C13" s="2957" t="s">
        <v>1610</v>
      </c>
      <c r="D13" s="2957"/>
      <c r="E13" s="2957"/>
      <c r="F13" s="2957"/>
      <c r="G13" s="2957"/>
      <c r="H13" s="644"/>
      <c r="I13" s="3089"/>
      <c r="J13" s="3090"/>
      <c r="K13" s="3090"/>
      <c r="L13" s="3090"/>
      <c r="M13" s="3090"/>
      <c r="N13" s="3090"/>
      <c r="O13" s="3090"/>
      <c r="P13" s="3090"/>
      <c r="Q13" s="3090"/>
      <c r="R13" s="3090"/>
      <c r="S13" s="3090"/>
      <c r="T13" s="654"/>
      <c r="U13" s="968">
        <f t="shared" si="1"/>
        <v>0.6</v>
      </c>
      <c r="V13" s="969">
        <f t="shared" si="0"/>
        <v>17.0097</v>
      </c>
      <c r="W13" s="667"/>
      <c r="X13" s="669"/>
      <c r="Y13" s="669"/>
      <c r="Z13" s="669"/>
      <c r="AA13" s="669"/>
      <c r="AB13" s="669"/>
      <c r="AC13" s="669"/>
      <c r="AD13" s="669"/>
      <c r="AE13" s="669"/>
      <c r="AF13" s="669"/>
      <c r="AG13" s="669"/>
      <c r="AH13" s="670"/>
      <c r="AI13" s="670"/>
      <c r="AJ13" s="670"/>
      <c r="AK13" s="670"/>
      <c r="AL13" s="653"/>
      <c r="AM13" s="671" t="s">
        <v>698</v>
      </c>
      <c r="AN13" s="671"/>
      <c r="AO13" s="671"/>
      <c r="AP13" s="672" t="s">
        <v>699</v>
      </c>
    </row>
    <row r="14" spans="1:47" ht="13.5">
      <c r="A14" s="641"/>
      <c r="B14" s="1938" t="s">
        <v>700</v>
      </c>
      <c r="C14" s="1939"/>
      <c r="D14" s="1940" t="s">
        <v>701</v>
      </c>
      <c r="E14" s="3098" t="s">
        <v>285</v>
      </c>
      <c r="F14" s="3098"/>
      <c r="G14" s="956" t="s">
        <v>285</v>
      </c>
      <c r="H14" s="1940"/>
      <c r="I14" s="673" t="s">
        <v>702</v>
      </c>
      <c r="J14" s="674" t="s">
        <v>286</v>
      </c>
      <c r="K14" s="674" t="s">
        <v>703</v>
      </c>
      <c r="L14" s="675" t="s">
        <v>704</v>
      </c>
      <c r="M14" s="675" t="s">
        <v>705</v>
      </c>
      <c r="N14" s="676" t="s">
        <v>706</v>
      </c>
      <c r="O14" s="676" t="s">
        <v>707</v>
      </c>
      <c r="P14" s="677" t="s">
        <v>708</v>
      </c>
      <c r="Q14" s="677" t="s">
        <v>709</v>
      </c>
      <c r="R14" s="677" t="s">
        <v>710</v>
      </c>
      <c r="S14" s="678" t="s">
        <v>711</v>
      </c>
      <c r="T14" s="641"/>
      <c r="U14" s="968">
        <f t="shared" si="1"/>
        <v>0.7</v>
      </c>
      <c r="V14" s="969">
        <f t="shared" si="0"/>
        <v>19.844649999999998</v>
      </c>
      <c r="W14" s="641"/>
      <c r="X14" s="679" t="s">
        <v>702</v>
      </c>
      <c r="Y14" s="674" t="s">
        <v>286</v>
      </c>
      <c r="Z14" s="674" t="s">
        <v>703</v>
      </c>
      <c r="AA14" s="674" t="s">
        <v>704</v>
      </c>
      <c r="AB14" s="674" t="s">
        <v>705</v>
      </c>
      <c r="AC14" s="673" t="s">
        <v>712</v>
      </c>
      <c r="AD14" s="673" t="s">
        <v>713</v>
      </c>
      <c r="AE14" s="680" t="s">
        <v>708</v>
      </c>
      <c r="AF14" s="680" t="s">
        <v>709</v>
      </c>
      <c r="AG14" s="680" t="s">
        <v>710</v>
      </c>
      <c r="AH14" s="681" t="s">
        <v>711</v>
      </c>
      <c r="AI14" s="646"/>
      <c r="AJ14" s="682" t="s">
        <v>714</v>
      </c>
      <c r="AK14" s="682" t="s">
        <v>715</v>
      </c>
      <c r="AL14" s="683" t="s">
        <v>716</v>
      </c>
      <c r="AM14" s="684" t="s">
        <v>714</v>
      </c>
      <c r="AN14" s="684" t="s">
        <v>715</v>
      </c>
      <c r="AO14" s="684" t="s">
        <v>717</v>
      </c>
      <c r="AQ14" s="685"/>
      <c r="AR14" s="653"/>
      <c r="AS14" s="653"/>
      <c r="AT14" s="653"/>
      <c r="AU14" s="653"/>
    </row>
    <row r="15" spans="1:47" ht="13.5">
      <c r="A15" s="641"/>
      <c r="B15" s="1283" t="s">
        <v>718</v>
      </c>
      <c r="C15" s="1941"/>
      <c r="D15" s="686"/>
      <c r="E15" s="950" t="s">
        <v>531</v>
      </c>
      <c r="F15" s="950" t="s">
        <v>105</v>
      </c>
      <c r="G15" s="951" t="s">
        <v>290</v>
      </c>
      <c r="H15" s="687"/>
      <c r="I15" s="688" t="s">
        <v>291</v>
      </c>
      <c r="J15" s="688" t="s">
        <v>291</v>
      </c>
      <c r="K15" s="688" t="s">
        <v>291</v>
      </c>
      <c r="L15" s="688" t="s">
        <v>291</v>
      </c>
      <c r="M15" s="689" t="s">
        <v>291</v>
      </c>
      <c r="N15" s="2967" t="s">
        <v>698</v>
      </c>
      <c r="O15" s="2968"/>
      <c r="P15" s="2968"/>
      <c r="Q15" s="2968"/>
      <c r="R15" s="2968"/>
      <c r="S15" s="2969"/>
      <c r="T15" s="641"/>
      <c r="U15" s="968">
        <f aca="true" t="shared" si="2" ref="U15:U57">U14+0.1</f>
        <v>0.7999999999999999</v>
      </c>
      <c r="V15" s="969">
        <f aca="true" t="shared" si="3" ref="V15:V78">U15*28.3495</f>
        <v>22.679599999999997</v>
      </c>
      <c r="W15" s="641"/>
      <c r="X15" s="691" t="s">
        <v>290</v>
      </c>
      <c r="Y15" s="688" t="s">
        <v>290</v>
      </c>
      <c r="Z15" s="688" t="s">
        <v>290</v>
      </c>
      <c r="AA15" s="688" t="s">
        <v>290</v>
      </c>
      <c r="AB15" s="688" t="s">
        <v>290</v>
      </c>
      <c r="AC15" s="688" t="s">
        <v>290</v>
      </c>
      <c r="AD15" s="688" t="s">
        <v>290</v>
      </c>
      <c r="AE15" s="688" t="s">
        <v>290</v>
      </c>
      <c r="AF15" s="688" t="s">
        <v>290</v>
      </c>
      <c r="AG15" s="688" t="s">
        <v>290</v>
      </c>
      <c r="AH15" s="692" t="s">
        <v>290</v>
      </c>
      <c r="AI15" s="646"/>
      <c r="AJ15" s="688" t="s">
        <v>290</v>
      </c>
      <c r="AK15" s="688" t="s">
        <v>290</v>
      </c>
      <c r="AL15" s="693" t="s">
        <v>290</v>
      </c>
      <c r="AM15" s="693" t="s">
        <v>290</v>
      </c>
      <c r="AN15" s="693" t="s">
        <v>290</v>
      </c>
      <c r="AO15" s="693" t="s">
        <v>290</v>
      </c>
      <c r="AQ15" s="685"/>
      <c r="AR15" s="653"/>
      <c r="AS15" s="653"/>
      <c r="AT15" s="653"/>
      <c r="AU15" s="653"/>
    </row>
    <row r="16" spans="1:47" ht="13.5">
      <c r="A16" s="651"/>
      <c r="B16" s="2092">
        <v>0.14</v>
      </c>
      <c r="C16" s="1942" t="s">
        <v>719</v>
      </c>
      <c r="D16" s="694"/>
      <c r="E16" s="1943"/>
      <c r="F16" s="1943"/>
      <c r="G16" s="1944">
        <f>453.6*(E16+F16/16)</f>
        <v>0</v>
      </c>
      <c r="H16" s="695"/>
      <c r="I16" s="1945">
        <v>6.8</v>
      </c>
      <c r="J16" s="1945">
        <v>0.2</v>
      </c>
      <c r="K16" s="1946">
        <v>0.01</v>
      </c>
      <c r="L16" s="1947">
        <v>9.6</v>
      </c>
      <c r="M16" s="1948">
        <v>0.4</v>
      </c>
      <c r="N16" s="1949">
        <v>1300</v>
      </c>
      <c r="O16" s="1950">
        <v>300</v>
      </c>
      <c r="P16" s="1950">
        <v>0.031</v>
      </c>
      <c r="Q16" s="1950">
        <v>0.334</v>
      </c>
      <c r="R16" s="1950">
        <v>0.155</v>
      </c>
      <c r="S16" s="1951">
        <v>0.067</v>
      </c>
      <c r="T16" s="651"/>
      <c r="U16" s="968">
        <f t="shared" si="2"/>
        <v>0.8999999999999999</v>
      </c>
      <c r="V16" s="969">
        <f t="shared" si="3"/>
        <v>25.514549999999996</v>
      </c>
      <c r="W16" s="651"/>
      <c r="X16" s="703">
        <f aca="true" t="shared" si="4" ref="X16:X22">G16*I16/100</f>
        <v>0</v>
      </c>
      <c r="Y16" s="704">
        <f aca="true" t="shared" si="5" ref="Y16:Y22">G16*J16/100</f>
        <v>0</v>
      </c>
      <c r="Z16" s="704">
        <f aca="true" t="shared" si="6" ref="Z16:Z22">G16*K16/100</f>
        <v>0</v>
      </c>
      <c r="AA16" s="704">
        <f aca="true" t="shared" si="7" ref="AA16:AA22">G16*(L16-I16)/100</f>
        <v>0</v>
      </c>
      <c r="AB16" s="704">
        <f aca="true" t="shared" si="8" ref="AB16:AB22">G16*M16/1200</f>
        <v>0</v>
      </c>
      <c r="AC16" s="705">
        <f aca="true" t="shared" si="9" ref="AC16:AD22">$G16*N16/100</f>
        <v>0</v>
      </c>
      <c r="AD16" s="705">
        <f t="shared" si="9"/>
        <v>0</v>
      </c>
      <c r="AE16" s="705">
        <f aca="true" t="shared" si="10" ref="AE16:AH22">$G16*P16/100</f>
        <v>0</v>
      </c>
      <c r="AF16" s="705">
        <f t="shared" si="10"/>
        <v>0</v>
      </c>
      <c r="AG16" s="705">
        <f t="shared" si="10"/>
        <v>0</v>
      </c>
      <c r="AH16" s="706">
        <f t="shared" si="10"/>
        <v>0</v>
      </c>
      <c r="AI16" s="648"/>
      <c r="AJ16" s="704">
        <f aca="true" t="shared" si="11" ref="AJ16:AK22">X16*AM16/1200</f>
        <v>0</v>
      </c>
      <c r="AK16" s="704">
        <f t="shared" si="11"/>
        <v>0</v>
      </c>
      <c r="AL16" s="707">
        <f aca="true" t="shared" si="12" ref="AL16:AL22">AA16*AO16/1200</f>
        <v>0</v>
      </c>
      <c r="AM16" s="650">
        <v>25</v>
      </c>
      <c r="AN16" s="650">
        <v>15</v>
      </c>
      <c r="AO16" s="650">
        <v>35</v>
      </c>
      <c r="AR16" s="653"/>
      <c r="AS16" s="653"/>
      <c r="AT16" s="653"/>
      <c r="AU16" s="653"/>
    </row>
    <row r="17" spans="1:47" ht="13.5">
      <c r="A17" s="651"/>
      <c r="B17" s="2092">
        <v>0.1</v>
      </c>
      <c r="C17" s="1942" t="s">
        <v>720</v>
      </c>
      <c r="D17" s="694"/>
      <c r="E17" s="1943"/>
      <c r="F17" s="1943"/>
      <c r="G17" s="1944">
        <f aca="true" t="shared" si="13" ref="G17:G22">453.6*(E17+F17/16)</f>
        <v>0</v>
      </c>
      <c r="H17" s="694"/>
      <c r="I17" s="1945">
        <v>4.5</v>
      </c>
      <c r="J17" s="1945">
        <v>0.06</v>
      </c>
      <c r="K17" s="1946">
        <v>0.01</v>
      </c>
      <c r="L17" s="1947">
        <v>9.6</v>
      </c>
      <c r="M17" s="1948">
        <v>1.8</v>
      </c>
      <c r="N17" s="1949">
        <v>1300</v>
      </c>
      <c r="O17" s="1950">
        <v>400</v>
      </c>
      <c r="P17" s="1950">
        <v>0.07</v>
      </c>
      <c r="Q17" s="1950">
        <v>0.98</v>
      </c>
      <c r="R17" s="1950">
        <v>0.273</v>
      </c>
      <c r="S17" s="1951">
        <v>0.14</v>
      </c>
      <c r="T17" s="651"/>
      <c r="U17" s="968">
        <f t="shared" si="2"/>
        <v>0.9999999999999999</v>
      </c>
      <c r="V17" s="969">
        <f t="shared" si="3"/>
        <v>28.349499999999995</v>
      </c>
      <c r="W17" s="651"/>
      <c r="X17" s="703">
        <f t="shared" si="4"/>
        <v>0</v>
      </c>
      <c r="Y17" s="704">
        <f t="shared" si="5"/>
        <v>0</v>
      </c>
      <c r="Z17" s="704">
        <f t="shared" si="6"/>
        <v>0</v>
      </c>
      <c r="AA17" s="704">
        <f t="shared" si="7"/>
        <v>0</v>
      </c>
      <c r="AB17" s="704">
        <f t="shared" si="8"/>
        <v>0</v>
      </c>
      <c r="AC17" s="705">
        <f t="shared" si="9"/>
        <v>0</v>
      </c>
      <c r="AD17" s="705">
        <f t="shared" si="9"/>
        <v>0</v>
      </c>
      <c r="AE17" s="705">
        <f t="shared" si="10"/>
        <v>0</v>
      </c>
      <c r="AF17" s="705">
        <f t="shared" si="10"/>
        <v>0</v>
      </c>
      <c r="AG17" s="705">
        <f t="shared" si="10"/>
        <v>0</v>
      </c>
      <c r="AH17" s="706">
        <f t="shared" si="10"/>
        <v>0</v>
      </c>
      <c r="AI17" s="648"/>
      <c r="AJ17" s="704">
        <f t="shared" si="11"/>
        <v>0</v>
      </c>
      <c r="AK17" s="704">
        <f t="shared" si="11"/>
        <v>0</v>
      </c>
      <c r="AL17" s="707">
        <f t="shared" si="12"/>
        <v>0</v>
      </c>
      <c r="AM17" s="650">
        <v>45</v>
      </c>
      <c r="AN17" s="650">
        <v>12</v>
      </c>
      <c r="AO17" s="650">
        <v>40</v>
      </c>
      <c r="AR17" s="653"/>
      <c r="AS17" s="653"/>
      <c r="AT17" s="653"/>
      <c r="AU17" s="653"/>
    </row>
    <row r="18" spans="1:47" ht="13.5">
      <c r="A18" s="651"/>
      <c r="B18" s="2093">
        <v>0.08</v>
      </c>
      <c r="C18" s="1942" t="s">
        <v>721</v>
      </c>
      <c r="D18" s="1953"/>
      <c r="E18" s="1943"/>
      <c r="F18" s="1943"/>
      <c r="G18" s="1944">
        <f t="shared" si="13"/>
        <v>0</v>
      </c>
      <c r="H18" s="694"/>
      <c r="I18" s="1945">
        <v>1.8</v>
      </c>
      <c r="J18" s="1946">
        <v>0.1</v>
      </c>
      <c r="K18" s="1946">
        <v>0.01</v>
      </c>
      <c r="L18" s="709">
        <v>3</v>
      </c>
      <c r="M18" s="1954">
        <v>1</v>
      </c>
      <c r="N18" s="1949">
        <v>1000</v>
      </c>
      <c r="O18" s="1950">
        <v>260</v>
      </c>
      <c r="P18" s="1950">
        <v>0.02</v>
      </c>
      <c r="Q18" s="1950">
        <v>0.32</v>
      </c>
      <c r="R18" s="1950">
        <v>0.246</v>
      </c>
      <c r="S18" s="1951">
        <v>0.07</v>
      </c>
      <c r="T18" s="651"/>
      <c r="U18" s="968">
        <f t="shared" si="2"/>
        <v>1.0999999999999999</v>
      </c>
      <c r="V18" s="969">
        <f t="shared" si="3"/>
        <v>31.184449999999995</v>
      </c>
      <c r="W18" s="651"/>
      <c r="X18" s="703">
        <f t="shared" si="4"/>
        <v>0</v>
      </c>
      <c r="Y18" s="704">
        <f t="shared" si="5"/>
        <v>0</v>
      </c>
      <c r="Z18" s="704">
        <f t="shared" si="6"/>
        <v>0</v>
      </c>
      <c r="AA18" s="704">
        <f t="shared" si="7"/>
        <v>0</v>
      </c>
      <c r="AB18" s="704">
        <f t="shared" si="8"/>
        <v>0</v>
      </c>
      <c r="AC18" s="705">
        <f t="shared" si="9"/>
        <v>0</v>
      </c>
      <c r="AD18" s="705">
        <f t="shared" si="9"/>
        <v>0</v>
      </c>
      <c r="AE18" s="705">
        <f t="shared" si="10"/>
        <v>0</v>
      </c>
      <c r="AF18" s="705">
        <f t="shared" si="10"/>
        <v>0</v>
      </c>
      <c r="AG18" s="705">
        <f t="shared" si="10"/>
        <v>0</v>
      </c>
      <c r="AH18" s="706">
        <f t="shared" si="10"/>
        <v>0</v>
      </c>
      <c r="AI18" s="648"/>
      <c r="AJ18" s="704">
        <f t="shared" si="11"/>
        <v>0</v>
      </c>
      <c r="AK18" s="704">
        <f t="shared" si="11"/>
        <v>0</v>
      </c>
      <c r="AL18" s="707">
        <f t="shared" si="12"/>
        <v>0</v>
      </c>
      <c r="AM18" s="650">
        <v>40</v>
      </c>
      <c r="AN18" s="650">
        <v>11</v>
      </c>
      <c r="AO18" s="650">
        <v>24</v>
      </c>
      <c r="AR18" s="653"/>
      <c r="AS18" s="653"/>
      <c r="AT18" s="653"/>
      <c r="AU18" s="653"/>
    </row>
    <row r="19" spans="1:47" ht="13.5">
      <c r="A19" s="651"/>
      <c r="B19" s="2093">
        <v>0.05</v>
      </c>
      <c r="C19" s="1942" t="s">
        <v>722</v>
      </c>
      <c r="D19" s="1953"/>
      <c r="E19" s="1943"/>
      <c r="F19" s="1943"/>
      <c r="G19" s="1944">
        <f t="shared" si="13"/>
        <v>0</v>
      </c>
      <c r="H19" s="694"/>
      <c r="I19" s="1946">
        <v>1.5</v>
      </c>
      <c r="J19" s="1946">
        <v>0.1</v>
      </c>
      <c r="K19" s="1946">
        <v>0.01</v>
      </c>
      <c r="L19" s="709">
        <v>3.5</v>
      </c>
      <c r="M19" s="1954">
        <v>1</v>
      </c>
      <c r="N19" s="1949">
        <v>1000</v>
      </c>
      <c r="O19" s="1950">
        <v>212</v>
      </c>
      <c r="P19" s="1950">
        <v>0.048</v>
      </c>
      <c r="Q19" s="1950">
        <v>0.487</v>
      </c>
      <c r="R19" s="1950">
        <v>0.155</v>
      </c>
      <c r="S19" s="1951">
        <v>0.218</v>
      </c>
      <c r="T19" s="651"/>
      <c r="U19" s="968">
        <f t="shared" si="2"/>
        <v>1.2</v>
      </c>
      <c r="V19" s="969">
        <f t="shared" si="3"/>
        <v>34.0194</v>
      </c>
      <c r="W19" s="651"/>
      <c r="X19" s="703">
        <f t="shared" si="4"/>
        <v>0</v>
      </c>
      <c r="Y19" s="704">
        <f t="shared" si="5"/>
        <v>0</v>
      </c>
      <c r="Z19" s="704">
        <f t="shared" si="6"/>
        <v>0</v>
      </c>
      <c r="AA19" s="704">
        <f t="shared" si="7"/>
        <v>0</v>
      </c>
      <c r="AB19" s="704">
        <f t="shared" si="8"/>
        <v>0</v>
      </c>
      <c r="AC19" s="705">
        <f t="shared" si="9"/>
        <v>0</v>
      </c>
      <c r="AD19" s="705">
        <f t="shared" si="9"/>
        <v>0</v>
      </c>
      <c r="AE19" s="705">
        <f t="shared" si="10"/>
        <v>0</v>
      </c>
      <c r="AF19" s="705">
        <f t="shared" si="10"/>
        <v>0</v>
      </c>
      <c r="AG19" s="705">
        <f t="shared" si="10"/>
        <v>0</v>
      </c>
      <c r="AH19" s="706">
        <f t="shared" si="10"/>
        <v>0</v>
      </c>
      <c r="AI19" s="648"/>
      <c r="AJ19" s="704">
        <f t="shared" si="11"/>
        <v>0</v>
      </c>
      <c r="AK19" s="704">
        <f t="shared" si="11"/>
        <v>0</v>
      </c>
      <c r="AL19" s="707">
        <f t="shared" si="12"/>
        <v>0</v>
      </c>
      <c r="AM19" s="650">
        <v>21</v>
      </c>
      <c r="AN19" s="650">
        <v>21</v>
      </c>
      <c r="AO19" s="650">
        <v>32</v>
      </c>
      <c r="AR19" s="653"/>
      <c r="AS19" s="653"/>
      <c r="AT19" s="653"/>
      <c r="AU19" s="653"/>
    </row>
    <row r="20" spans="1:47" ht="13.5">
      <c r="A20" s="651"/>
      <c r="B20" s="2093">
        <v>0.18</v>
      </c>
      <c r="C20" s="1942" t="s">
        <v>723</v>
      </c>
      <c r="D20" s="1953"/>
      <c r="E20" s="1943"/>
      <c r="F20" s="1943"/>
      <c r="G20" s="1944">
        <f t="shared" si="13"/>
        <v>0</v>
      </c>
      <c r="H20" s="694"/>
      <c r="I20" s="1945">
        <v>4.8</v>
      </c>
      <c r="J20" s="1945">
        <v>0.12</v>
      </c>
      <c r="K20" s="1946">
        <v>0.01</v>
      </c>
      <c r="L20" s="711">
        <v>18</v>
      </c>
      <c r="M20" s="1948">
        <v>3.2</v>
      </c>
      <c r="N20" s="1949">
        <v>1500</v>
      </c>
      <c r="O20" s="1950">
        <v>400</v>
      </c>
      <c r="P20" s="1950">
        <v>0.09</v>
      </c>
      <c r="Q20" s="1950">
        <v>0.7</v>
      </c>
      <c r="R20" s="1950">
        <v>0.6</v>
      </c>
      <c r="S20" s="1951">
        <v>0.09</v>
      </c>
      <c r="T20" s="651"/>
      <c r="U20" s="968">
        <f t="shared" si="2"/>
        <v>1.3</v>
      </c>
      <c r="V20" s="969">
        <f t="shared" si="3"/>
        <v>36.85435</v>
      </c>
      <c r="W20" s="651"/>
      <c r="X20" s="703">
        <f t="shared" si="4"/>
        <v>0</v>
      </c>
      <c r="Y20" s="704">
        <f t="shared" si="5"/>
        <v>0</v>
      </c>
      <c r="Z20" s="704">
        <f t="shared" si="6"/>
        <v>0</v>
      </c>
      <c r="AA20" s="704">
        <f t="shared" si="7"/>
        <v>0</v>
      </c>
      <c r="AB20" s="704">
        <f t="shared" si="8"/>
        <v>0</v>
      </c>
      <c r="AC20" s="705">
        <f t="shared" si="9"/>
        <v>0</v>
      </c>
      <c r="AD20" s="705">
        <f t="shared" si="9"/>
        <v>0</v>
      </c>
      <c r="AE20" s="705">
        <f t="shared" si="10"/>
        <v>0</v>
      </c>
      <c r="AF20" s="705">
        <f t="shared" si="10"/>
        <v>0</v>
      </c>
      <c r="AG20" s="705">
        <f t="shared" si="10"/>
        <v>0</v>
      </c>
      <c r="AH20" s="706">
        <f t="shared" si="10"/>
        <v>0</v>
      </c>
      <c r="AI20" s="648"/>
      <c r="AJ20" s="704">
        <f t="shared" si="11"/>
        <v>0</v>
      </c>
      <c r="AK20" s="704">
        <f t="shared" si="11"/>
        <v>0</v>
      </c>
      <c r="AL20" s="707">
        <f t="shared" si="12"/>
        <v>0</v>
      </c>
      <c r="AM20" s="650">
        <v>6</v>
      </c>
      <c r="AN20" s="650">
        <v>20</v>
      </c>
      <c r="AO20" s="650">
        <v>75</v>
      </c>
      <c r="AR20" s="653"/>
      <c r="AS20" s="653"/>
      <c r="AT20" s="653"/>
      <c r="AU20" s="653"/>
    </row>
    <row r="21" spans="1:47" ht="13.5">
      <c r="A21" s="651"/>
      <c r="B21" s="2093">
        <v>0.2</v>
      </c>
      <c r="C21" s="1942" t="s">
        <v>724</v>
      </c>
      <c r="D21" s="1953"/>
      <c r="E21" s="1943"/>
      <c r="F21" s="1943"/>
      <c r="G21" s="1944">
        <f t="shared" si="13"/>
        <v>0</v>
      </c>
      <c r="H21" s="694"/>
      <c r="I21" s="1945">
        <v>0.8</v>
      </c>
      <c r="J21" s="1945">
        <v>0.1</v>
      </c>
      <c r="K21" s="1946">
        <v>0.01</v>
      </c>
      <c r="L21" s="709">
        <v>17.5</v>
      </c>
      <c r="M21" s="1948">
        <v>2</v>
      </c>
      <c r="N21" s="1949">
        <v>1500</v>
      </c>
      <c r="O21" s="1950">
        <v>500</v>
      </c>
      <c r="P21" s="1950">
        <v>0.08</v>
      </c>
      <c r="Q21" s="1950">
        <v>1.05</v>
      </c>
      <c r="R21" s="1950">
        <v>0.296</v>
      </c>
      <c r="S21" s="1951">
        <v>0.295</v>
      </c>
      <c r="T21" s="651"/>
      <c r="U21" s="968">
        <f t="shared" si="2"/>
        <v>1.4000000000000001</v>
      </c>
      <c r="V21" s="969">
        <f>U21*28.3495</f>
        <v>39.6893</v>
      </c>
      <c r="W21" s="651"/>
      <c r="X21" s="703">
        <f t="shared" si="4"/>
        <v>0</v>
      </c>
      <c r="Y21" s="704">
        <f t="shared" si="5"/>
        <v>0</v>
      </c>
      <c r="Z21" s="704">
        <f t="shared" si="6"/>
        <v>0</v>
      </c>
      <c r="AA21" s="704">
        <f t="shared" si="7"/>
        <v>0</v>
      </c>
      <c r="AB21" s="704">
        <f t="shared" si="8"/>
        <v>0</v>
      </c>
      <c r="AC21" s="705">
        <f t="shared" si="9"/>
        <v>0</v>
      </c>
      <c r="AD21" s="705">
        <f t="shared" si="9"/>
        <v>0</v>
      </c>
      <c r="AE21" s="705">
        <f t="shared" si="10"/>
        <v>0</v>
      </c>
      <c r="AF21" s="705">
        <f t="shared" si="10"/>
        <v>0</v>
      </c>
      <c r="AG21" s="705">
        <f t="shared" si="10"/>
        <v>0</v>
      </c>
      <c r="AH21" s="706">
        <f t="shared" si="10"/>
        <v>0</v>
      </c>
      <c r="AI21" s="648"/>
      <c r="AJ21" s="704">
        <f t="shared" si="11"/>
        <v>0</v>
      </c>
      <c r="AK21" s="704">
        <f t="shared" si="11"/>
        <v>0</v>
      </c>
      <c r="AL21" s="707">
        <f t="shared" si="12"/>
        <v>0</v>
      </c>
      <c r="AM21" s="650">
        <v>13</v>
      </c>
      <c r="AN21" s="650">
        <v>30</v>
      </c>
      <c r="AO21" s="650">
        <v>65</v>
      </c>
      <c r="AR21" s="653"/>
      <c r="AS21" s="653"/>
      <c r="AT21" s="653"/>
      <c r="AU21" s="653"/>
    </row>
    <row r="22" spans="1:47" ht="13.5">
      <c r="A22" s="651"/>
      <c r="B22" s="1955"/>
      <c r="C22" s="1956" t="s">
        <v>725</v>
      </c>
      <c r="D22" s="1950"/>
      <c r="E22" s="1957"/>
      <c r="F22" s="1957"/>
      <c r="G22" s="1944">
        <f t="shared" si="13"/>
        <v>0</v>
      </c>
      <c r="H22" s="713"/>
      <c r="I22" s="1945"/>
      <c r="J22" s="1945"/>
      <c r="K22" s="1945"/>
      <c r="L22" s="1945"/>
      <c r="M22" s="1945"/>
      <c r="N22" s="1945"/>
      <c r="O22" s="1945"/>
      <c r="P22" s="1950"/>
      <c r="Q22" s="1950"/>
      <c r="R22" s="1950"/>
      <c r="S22" s="1951"/>
      <c r="T22" s="651"/>
      <c r="U22" s="968">
        <f t="shared" si="2"/>
        <v>1.5000000000000002</v>
      </c>
      <c r="V22" s="969">
        <f t="shared" si="3"/>
        <v>42.52425</v>
      </c>
      <c r="W22" s="651"/>
      <c r="X22" s="703">
        <f t="shared" si="4"/>
        <v>0</v>
      </c>
      <c r="Y22" s="704">
        <f t="shared" si="5"/>
        <v>0</v>
      </c>
      <c r="Z22" s="704">
        <f t="shared" si="6"/>
        <v>0</v>
      </c>
      <c r="AA22" s="704">
        <f t="shared" si="7"/>
        <v>0</v>
      </c>
      <c r="AB22" s="704">
        <f t="shared" si="8"/>
        <v>0</v>
      </c>
      <c r="AC22" s="705">
        <f t="shared" si="9"/>
        <v>0</v>
      </c>
      <c r="AD22" s="705">
        <f t="shared" si="9"/>
        <v>0</v>
      </c>
      <c r="AE22" s="705">
        <f t="shared" si="10"/>
        <v>0</v>
      </c>
      <c r="AF22" s="705">
        <f t="shared" si="10"/>
        <v>0</v>
      </c>
      <c r="AG22" s="705">
        <f t="shared" si="10"/>
        <v>0</v>
      </c>
      <c r="AH22" s="706">
        <f t="shared" si="10"/>
        <v>0</v>
      </c>
      <c r="AI22" s="648"/>
      <c r="AJ22" s="704">
        <f t="shared" si="11"/>
        <v>0</v>
      </c>
      <c r="AK22" s="704">
        <f t="shared" si="11"/>
        <v>0</v>
      </c>
      <c r="AL22" s="707">
        <f t="shared" si="12"/>
        <v>0</v>
      </c>
      <c r="AO22" s="714"/>
      <c r="AR22" s="653"/>
      <c r="AS22" s="653"/>
      <c r="AT22" s="653"/>
      <c r="AU22" s="653"/>
    </row>
    <row r="23" spans="1:45" ht="13.5">
      <c r="A23" s="641"/>
      <c r="B23" s="1958"/>
      <c r="C23" s="2964" t="s">
        <v>481</v>
      </c>
      <c r="D23" s="2965"/>
      <c r="E23" s="2965"/>
      <c r="F23" s="2965"/>
      <c r="G23" s="2965"/>
      <c r="H23" s="2965"/>
      <c r="I23" s="2965"/>
      <c r="J23" s="2965"/>
      <c r="K23" s="2965"/>
      <c r="L23" s="2965"/>
      <c r="M23" s="2965"/>
      <c r="N23" s="2965"/>
      <c r="O23" s="2965"/>
      <c r="P23" s="2965"/>
      <c r="Q23" s="2965"/>
      <c r="R23" s="2965"/>
      <c r="S23" s="2966"/>
      <c r="T23" s="654"/>
      <c r="U23" s="968">
        <f t="shared" si="2"/>
        <v>1.6000000000000003</v>
      </c>
      <c r="V23" s="969">
        <f t="shared" si="3"/>
        <v>45.35920000000001</v>
      </c>
      <c r="W23" s="667"/>
      <c r="X23" s="2970" t="s">
        <v>1333</v>
      </c>
      <c r="Y23" s="2971"/>
      <c r="Z23" s="2971"/>
      <c r="AA23" s="2971"/>
      <c r="AB23" s="2971"/>
      <c r="AC23" s="2971"/>
      <c r="AD23" s="2971"/>
      <c r="AE23" s="2971"/>
      <c r="AF23" s="2971"/>
      <c r="AG23" s="2971"/>
      <c r="AH23" s="2971"/>
      <c r="AI23" s="2971"/>
      <c r="AJ23" s="2971"/>
      <c r="AK23" s="2971"/>
      <c r="AL23" s="2971"/>
      <c r="AM23" s="2971"/>
      <c r="AN23" s="2971"/>
      <c r="AO23" s="2971"/>
      <c r="AP23" s="2971"/>
      <c r="AQ23" s="2971"/>
      <c r="AR23" s="2971"/>
      <c r="AS23" s="2971"/>
    </row>
    <row r="24" spans="1:47" ht="13.5">
      <c r="A24" s="641"/>
      <c r="B24" s="1960" t="s">
        <v>700</v>
      </c>
      <c r="C24" s="715"/>
      <c r="D24" s="1961" t="s">
        <v>726</v>
      </c>
      <c r="E24" s="2956" t="s">
        <v>285</v>
      </c>
      <c r="F24" s="2956"/>
      <c r="G24" s="951" t="s">
        <v>285</v>
      </c>
      <c r="H24" s="1962"/>
      <c r="I24" s="688" t="s">
        <v>702</v>
      </c>
      <c r="J24" s="716" t="s">
        <v>286</v>
      </c>
      <c r="K24" s="716" t="s">
        <v>703</v>
      </c>
      <c r="L24" s="716" t="s">
        <v>704</v>
      </c>
      <c r="M24" s="716" t="s">
        <v>705</v>
      </c>
      <c r="N24" s="689" t="s">
        <v>706</v>
      </c>
      <c r="O24" s="688" t="s">
        <v>707</v>
      </c>
      <c r="P24" s="690" t="s">
        <v>708</v>
      </c>
      <c r="Q24" s="690" t="s">
        <v>709</v>
      </c>
      <c r="R24" s="690" t="s">
        <v>710</v>
      </c>
      <c r="S24" s="717" t="s">
        <v>711</v>
      </c>
      <c r="T24" s="641"/>
      <c r="U24" s="968">
        <f t="shared" si="2"/>
        <v>1.7000000000000004</v>
      </c>
      <c r="V24" s="969">
        <f t="shared" si="3"/>
        <v>48.19415000000001</v>
      </c>
      <c r="W24" s="641"/>
      <c r="X24" s="691" t="s">
        <v>702</v>
      </c>
      <c r="Y24" s="716" t="s">
        <v>286</v>
      </c>
      <c r="Z24" s="716" t="s">
        <v>703</v>
      </c>
      <c r="AA24" s="716" t="s">
        <v>704</v>
      </c>
      <c r="AB24" s="716" t="s">
        <v>705</v>
      </c>
      <c r="AC24" s="688" t="s">
        <v>712</v>
      </c>
      <c r="AD24" s="688" t="s">
        <v>713</v>
      </c>
      <c r="AE24" s="690" t="s">
        <v>708</v>
      </c>
      <c r="AF24" s="690" t="s">
        <v>709</v>
      </c>
      <c r="AG24" s="690" t="s">
        <v>710</v>
      </c>
      <c r="AH24" s="717" t="s">
        <v>711</v>
      </c>
      <c r="AI24" s="646"/>
      <c r="AJ24" s="688" t="s">
        <v>714</v>
      </c>
      <c r="AK24" s="688" t="s">
        <v>715</v>
      </c>
      <c r="AL24" s="689" t="s">
        <v>716</v>
      </c>
      <c r="AM24" s="718" t="s">
        <v>714</v>
      </c>
      <c r="AN24" s="684" t="s">
        <v>715</v>
      </c>
      <c r="AO24" s="684" t="s">
        <v>717</v>
      </c>
      <c r="AQ24" s="719" t="s">
        <v>727</v>
      </c>
      <c r="AR24" s="2972" t="s">
        <v>728</v>
      </c>
      <c r="AS24" s="2972"/>
      <c r="AT24" s="2972"/>
      <c r="AU24" s="2972"/>
    </row>
    <row r="25" spans="1:47" ht="13.5">
      <c r="A25" s="641"/>
      <c r="B25" s="1283" t="s">
        <v>729</v>
      </c>
      <c r="C25" s="1963"/>
      <c r="D25" s="686"/>
      <c r="E25" s="950" t="s">
        <v>531</v>
      </c>
      <c r="F25" s="950" t="s">
        <v>105</v>
      </c>
      <c r="G25" s="951" t="s">
        <v>290</v>
      </c>
      <c r="H25" s="687"/>
      <c r="I25" s="688" t="s">
        <v>291</v>
      </c>
      <c r="J25" s="688" t="s">
        <v>291</v>
      </c>
      <c r="K25" s="688" t="s">
        <v>291</v>
      </c>
      <c r="L25" s="688" t="s">
        <v>291</v>
      </c>
      <c r="M25" s="688" t="s">
        <v>291</v>
      </c>
      <c r="N25" s="2967" t="s">
        <v>698</v>
      </c>
      <c r="O25" s="2968"/>
      <c r="P25" s="2968"/>
      <c r="Q25" s="2968"/>
      <c r="R25" s="2968"/>
      <c r="S25" s="2969"/>
      <c r="T25" s="641"/>
      <c r="U25" s="968">
        <f t="shared" si="2"/>
        <v>1.8000000000000005</v>
      </c>
      <c r="V25" s="969">
        <f t="shared" si="3"/>
        <v>51.029100000000014</v>
      </c>
      <c r="W25" s="641"/>
      <c r="X25" s="691" t="s">
        <v>290</v>
      </c>
      <c r="Y25" s="688" t="s">
        <v>290</v>
      </c>
      <c r="Z25" s="688" t="s">
        <v>290</v>
      </c>
      <c r="AA25" s="688" t="s">
        <v>290</v>
      </c>
      <c r="AB25" s="688" t="s">
        <v>290</v>
      </c>
      <c r="AC25" s="688" t="s">
        <v>290</v>
      </c>
      <c r="AD25" s="688" t="s">
        <v>290</v>
      </c>
      <c r="AE25" s="688" t="s">
        <v>290</v>
      </c>
      <c r="AF25" s="688" t="s">
        <v>290</v>
      </c>
      <c r="AG25" s="688" t="s">
        <v>290</v>
      </c>
      <c r="AH25" s="692" t="s">
        <v>290</v>
      </c>
      <c r="AI25" s="646"/>
      <c r="AJ25" s="688" t="s">
        <v>290</v>
      </c>
      <c r="AK25" s="688" t="s">
        <v>290</v>
      </c>
      <c r="AL25" s="689" t="s">
        <v>290</v>
      </c>
      <c r="AM25" s="720"/>
      <c r="AQ25" s="719" t="s">
        <v>745</v>
      </c>
      <c r="AR25" s="2972"/>
      <c r="AS25" s="2972"/>
      <c r="AT25" s="2972"/>
      <c r="AU25" s="2972"/>
    </row>
    <row r="26" spans="1:47" ht="13.5">
      <c r="A26" s="651"/>
      <c r="B26" s="1952">
        <v>0.15</v>
      </c>
      <c r="C26" s="1964" t="s">
        <v>746</v>
      </c>
      <c r="D26" s="1953" t="s">
        <v>747</v>
      </c>
      <c r="E26" s="1943"/>
      <c r="F26" s="1943"/>
      <c r="G26" s="1944">
        <f>453.6*(E26+F26/16)</f>
        <v>0</v>
      </c>
      <c r="H26" s="694">
        <f>B26*G26</f>
        <v>0</v>
      </c>
      <c r="I26" s="1947">
        <v>9</v>
      </c>
      <c r="J26" s="1947">
        <v>1.2</v>
      </c>
      <c r="K26" s="1947">
        <v>0.08</v>
      </c>
      <c r="L26" s="711">
        <v>13</v>
      </c>
      <c r="M26" s="1948">
        <v>0.8</v>
      </c>
      <c r="N26" s="1950">
        <v>40</v>
      </c>
      <c r="O26" s="1950">
        <v>107</v>
      </c>
      <c r="P26" s="1950">
        <v>0.02</v>
      </c>
      <c r="Q26" s="1950">
        <v>0.09</v>
      </c>
      <c r="R26" s="1965">
        <v>0.061</v>
      </c>
      <c r="S26" s="1951">
        <v>0.04</v>
      </c>
      <c r="T26" s="651"/>
      <c r="U26" s="968">
        <f t="shared" si="2"/>
        <v>1.9000000000000006</v>
      </c>
      <c r="V26" s="969">
        <f t="shared" si="3"/>
        <v>53.86405000000001</v>
      </c>
      <c r="W26" s="651"/>
      <c r="X26" s="703">
        <f aca="true" t="shared" si="14" ref="X26:X57">G26*I26/100</f>
        <v>0</v>
      </c>
      <c r="Y26" s="704">
        <f aca="true" t="shared" si="15" ref="Y26:Y57">G26*J26/100</f>
        <v>0</v>
      </c>
      <c r="Z26" s="704">
        <f aca="true" t="shared" si="16" ref="Z26:Z57">G26*K26/100</f>
        <v>0</v>
      </c>
      <c r="AA26" s="704">
        <f aca="true" t="shared" si="17" ref="AA26:AA57">G26*(L26-I26)/100</f>
        <v>0</v>
      </c>
      <c r="AB26" s="704">
        <f aca="true" t="shared" si="18" ref="AB26:AB57">G26*M26/1200</f>
        <v>0</v>
      </c>
      <c r="AC26" s="705">
        <f aca="true" t="shared" si="19" ref="AC26:AC57">$G26*N26/100</f>
        <v>0</v>
      </c>
      <c r="AD26" s="705">
        <f aca="true" t="shared" si="20" ref="AD26:AD57">$G26*O26/100</f>
        <v>0</v>
      </c>
      <c r="AE26" s="705">
        <f aca="true" t="shared" si="21" ref="AE26:AE57">$G26*P26/100</f>
        <v>0</v>
      </c>
      <c r="AF26" s="705">
        <f aca="true" t="shared" si="22" ref="AF26:AF57">$G26*Q26/100</f>
        <v>0</v>
      </c>
      <c r="AG26" s="705">
        <f aca="true" t="shared" si="23" ref="AG26:AG57">$G26*R26/100</f>
        <v>0</v>
      </c>
      <c r="AH26" s="706">
        <f aca="true" t="shared" si="24" ref="AH26:AH57">$G26*S26/100</f>
        <v>0</v>
      </c>
      <c r="AI26" s="648"/>
      <c r="AJ26" s="705">
        <f aca="true" t="shared" si="25" ref="AJ26:AJ57">$G26*AM26/100</f>
        <v>0</v>
      </c>
      <c r="AK26" s="705">
        <f aca="true" t="shared" si="26" ref="AK26:AK57">$G26*AN26/100</f>
        <v>0</v>
      </c>
      <c r="AL26" s="722">
        <f aca="true" t="shared" si="27" ref="AL26:AL57">$G26*AO26/100</f>
        <v>0</v>
      </c>
      <c r="AM26" s="720">
        <v>6</v>
      </c>
      <c r="AN26" s="650">
        <v>5</v>
      </c>
      <c r="AO26" s="650">
        <v>11</v>
      </c>
      <c r="AQ26" s="723" t="s">
        <v>748</v>
      </c>
      <c r="AR26" s="724" t="s">
        <v>749</v>
      </c>
      <c r="AS26" s="725"/>
      <c r="AT26" s="725"/>
      <c r="AU26" s="725"/>
    </row>
    <row r="27" spans="1:47" ht="13.5">
      <c r="A27" s="651"/>
      <c r="B27" s="1952">
        <v>0.15</v>
      </c>
      <c r="C27" s="1964"/>
      <c r="D27" s="1953" t="s">
        <v>750</v>
      </c>
      <c r="E27" s="1943"/>
      <c r="F27" s="1943"/>
      <c r="G27" s="1944">
        <f aca="true" t="shared" si="28" ref="G27:G92">453.6*(E27+F27/16)</f>
        <v>0</v>
      </c>
      <c r="H27" s="694">
        <f>B27*G27</f>
        <v>0</v>
      </c>
      <c r="I27" s="1947">
        <v>10.4</v>
      </c>
      <c r="J27" s="1947">
        <v>0.7</v>
      </c>
      <c r="K27" s="1947">
        <v>0.08</v>
      </c>
      <c r="L27" s="711">
        <v>13</v>
      </c>
      <c r="M27" s="1948">
        <v>0.8</v>
      </c>
      <c r="N27" s="1950">
        <v>40</v>
      </c>
      <c r="O27" s="1950">
        <v>107</v>
      </c>
      <c r="P27" s="1950">
        <v>0.02</v>
      </c>
      <c r="Q27" s="1950">
        <v>0.09</v>
      </c>
      <c r="R27" s="1965">
        <v>0.061</v>
      </c>
      <c r="S27" s="1951">
        <v>0.04</v>
      </c>
      <c r="T27" s="651"/>
      <c r="U27" s="968">
        <f t="shared" si="2"/>
        <v>2.0000000000000004</v>
      </c>
      <c r="V27" s="969">
        <f t="shared" si="3"/>
        <v>56.69900000000001</v>
      </c>
      <c r="W27" s="651"/>
      <c r="X27" s="703">
        <f t="shared" si="14"/>
        <v>0</v>
      </c>
      <c r="Y27" s="704">
        <f t="shared" si="15"/>
        <v>0</v>
      </c>
      <c r="Z27" s="704">
        <f t="shared" si="16"/>
        <v>0</v>
      </c>
      <c r="AA27" s="704">
        <f t="shared" si="17"/>
        <v>0</v>
      </c>
      <c r="AB27" s="704">
        <f t="shared" si="18"/>
        <v>0</v>
      </c>
      <c r="AC27" s="705">
        <f t="shared" si="19"/>
        <v>0</v>
      </c>
      <c r="AD27" s="705">
        <f t="shared" si="20"/>
        <v>0</v>
      </c>
      <c r="AE27" s="705">
        <f t="shared" si="21"/>
        <v>0</v>
      </c>
      <c r="AF27" s="705">
        <f t="shared" si="22"/>
        <v>0</v>
      </c>
      <c r="AG27" s="705">
        <f t="shared" si="23"/>
        <v>0</v>
      </c>
      <c r="AH27" s="706">
        <f t="shared" si="24"/>
        <v>0</v>
      </c>
      <c r="AI27" s="648"/>
      <c r="AJ27" s="705">
        <f t="shared" si="25"/>
        <v>0</v>
      </c>
      <c r="AK27" s="705">
        <f t="shared" si="26"/>
        <v>0</v>
      </c>
      <c r="AL27" s="722">
        <f t="shared" si="27"/>
        <v>0</v>
      </c>
      <c r="AM27" s="720">
        <v>6</v>
      </c>
      <c r="AN27" s="650">
        <v>5</v>
      </c>
      <c r="AO27" s="650">
        <v>11</v>
      </c>
      <c r="AQ27" s="723" t="s">
        <v>748</v>
      </c>
      <c r="AR27" s="724" t="s">
        <v>751</v>
      </c>
      <c r="AS27" s="725" t="s">
        <v>752</v>
      </c>
      <c r="AT27" s="725" t="s">
        <v>753</v>
      </c>
      <c r="AU27" s="725" t="s">
        <v>754</v>
      </c>
    </row>
    <row r="28" spans="1:47" ht="13.5">
      <c r="A28" s="651"/>
      <c r="B28" s="1952">
        <v>0.18</v>
      </c>
      <c r="C28" s="1964"/>
      <c r="D28" s="1953" t="s">
        <v>755</v>
      </c>
      <c r="E28" s="1943"/>
      <c r="F28" s="1943"/>
      <c r="G28" s="1944">
        <f t="shared" si="28"/>
        <v>0</v>
      </c>
      <c r="H28" s="694">
        <f>B28*G28</f>
        <v>0</v>
      </c>
      <c r="I28" s="1947">
        <v>7.6</v>
      </c>
      <c r="J28" s="1946">
        <v>1.3</v>
      </c>
      <c r="K28" s="1946">
        <v>0.08</v>
      </c>
      <c r="L28" s="711">
        <v>14</v>
      </c>
      <c r="M28" s="1954">
        <v>0.8</v>
      </c>
      <c r="N28" s="1949">
        <v>40</v>
      </c>
      <c r="O28" s="1950">
        <v>194</v>
      </c>
      <c r="P28" s="1950">
        <v>0.03</v>
      </c>
      <c r="Q28" s="1950">
        <v>0.1</v>
      </c>
      <c r="R28" s="1965"/>
      <c r="S28" s="1951"/>
      <c r="T28" s="651"/>
      <c r="U28" s="968">
        <f t="shared" si="2"/>
        <v>2.1000000000000005</v>
      </c>
      <c r="V28" s="969">
        <f t="shared" si="3"/>
        <v>59.53395000000001</v>
      </c>
      <c r="W28" s="651"/>
      <c r="X28" s="703">
        <f t="shared" si="14"/>
        <v>0</v>
      </c>
      <c r="Y28" s="704">
        <f t="shared" si="15"/>
        <v>0</v>
      </c>
      <c r="Z28" s="704">
        <f t="shared" si="16"/>
        <v>0</v>
      </c>
      <c r="AA28" s="704">
        <f t="shared" si="17"/>
        <v>0</v>
      </c>
      <c r="AB28" s="704">
        <f t="shared" si="18"/>
        <v>0</v>
      </c>
      <c r="AC28" s="705">
        <f t="shared" si="19"/>
        <v>0</v>
      </c>
      <c r="AD28" s="705">
        <f t="shared" si="20"/>
        <v>0</v>
      </c>
      <c r="AE28" s="705">
        <f t="shared" si="21"/>
        <v>0</v>
      </c>
      <c r="AF28" s="705">
        <f t="shared" si="22"/>
        <v>0</v>
      </c>
      <c r="AG28" s="705">
        <f t="shared" si="23"/>
        <v>0</v>
      </c>
      <c r="AH28" s="706">
        <f t="shared" si="24"/>
        <v>0</v>
      </c>
      <c r="AI28" s="648"/>
      <c r="AJ28" s="705">
        <f t="shared" si="25"/>
        <v>0</v>
      </c>
      <c r="AK28" s="705">
        <f t="shared" si="26"/>
        <v>0</v>
      </c>
      <c r="AL28" s="722">
        <f t="shared" si="27"/>
        <v>0</v>
      </c>
      <c r="AM28" s="720">
        <v>6</v>
      </c>
      <c r="AN28" s="650">
        <v>5</v>
      </c>
      <c r="AO28" s="650">
        <v>11</v>
      </c>
      <c r="AQ28" s="723"/>
      <c r="AR28" s="724"/>
      <c r="AS28" s="725"/>
      <c r="AT28" s="725"/>
      <c r="AU28" s="725"/>
    </row>
    <row r="29" spans="1:47" ht="13.5">
      <c r="A29" s="651"/>
      <c r="B29" s="1952">
        <v>0.12</v>
      </c>
      <c r="C29" s="1964" t="s">
        <v>756</v>
      </c>
      <c r="D29" s="1953" t="s">
        <v>757</v>
      </c>
      <c r="E29" s="1943"/>
      <c r="F29" s="1943"/>
      <c r="G29" s="1944">
        <f t="shared" si="28"/>
        <v>0</v>
      </c>
      <c r="H29" s="694">
        <f aca="true" t="shared" si="29" ref="H29:H60">B29*G29</f>
        <v>0</v>
      </c>
      <c r="I29" s="1947">
        <v>9.24</v>
      </c>
      <c r="J29" s="1947">
        <v>1.2</v>
      </c>
      <c r="K29" s="1947">
        <v>0.1</v>
      </c>
      <c r="L29" s="711">
        <v>11</v>
      </c>
      <c r="M29" s="1954">
        <v>0.3</v>
      </c>
      <c r="N29" s="1950">
        <v>90</v>
      </c>
      <c r="O29" s="1950">
        <v>260</v>
      </c>
      <c r="P29" s="1950">
        <v>0.03</v>
      </c>
      <c r="Q29" s="1950">
        <v>0.6</v>
      </c>
      <c r="R29" s="1950">
        <v>0.24</v>
      </c>
      <c r="S29" s="1951">
        <v>0.054</v>
      </c>
      <c r="T29" s="726"/>
      <c r="U29" s="968">
        <f t="shared" si="2"/>
        <v>2.2000000000000006</v>
      </c>
      <c r="V29" s="969">
        <f t="shared" si="3"/>
        <v>62.36890000000002</v>
      </c>
      <c r="W29" s="651"/>
      <c r="X29" s="703">
        <f t="shared" si="14"/>
        <v>0</v>
      </c>
      <c r="Y29" s="704">
        <f t="shared" si="15"/>
        <v>0</v>
      </c>
      <c r="Z29" s="704">
        <f t="shared" si="16"/>
        <v>0</v>
      </c>
      <c r="AA29" s="704">
        <f t="shared" si="17"/>
        <v>0</v>
      </c>
      <c r="AB29" s="704">
        <f t="shared" si="18"/>
        <v>0</v>
      </c>
      <c r="AC29" s="705">
        <f t="shared" si="19"/>
        <v>0</v>
      </c>
      <c r="AD29" s="705">
        <f t="shared" si="20"/>
        <v>0</v>
      </c>
      <c r="AE29" s="705">
        <f t="shared" si="21"/>
        <v>0</v>
      </c>
      <c r="AF29" s="705">
        <f t="shared" si="22"/>
        <v>0</v>
      </c>
      <c r="AG29" s="705">
        <f t="shared" si="23"/>
        <v>0</v>
      </c>
      <c r="AH29" s="706">
        <f t="shared" si="24"/>
        <v>0</v>
      </c>
      <c r="AI29" s="648"/>
      <c r="AJ29" s="705">
        <f t="shared" si="25"/>
        <v>0</v>
      </c>
      <c r="AK29" s="705">
        <f t="shared" si="26"/>
        <v>0</v>
      </c>
      <c r="AL29" s="722">
        <f t="shared" si="27"/>
        <v>0</v>
      </c>
      <c r="AM29" s="720">
        <v>13</v>
      </c>
      <c r="AN29" s="650">
        <v>10</v>
      </c>
      <c r="AO29" s="650">
        <v>23</v>
      </c>
      <c r="AQ29" s="723" t="s">
        <v>748</v>
      </c>
      <c r="AR29" s="724">
        <f>AR150+0.5</f>
        <v>0.5</v>
      </c>
      <c r="AS29" s="727">
        <f aca="true" t="shared" si="30" ref="AS29:AS51">$AR29*0.853</f>
        <v>0.4265</v>
      </c>
      <c r="AT29" s="727">
        <f aca="true" t="shared" si="31" ref="AT29:AT51">$AR29*0.893</f>
        <v>0.4465</v>
      </c>
      <c r="AU29" s="727">
        <f aca="true" t="shared" si="32" ref="AU29:AU51">$AR29*0.653</f>
        <v>0.3265</v>
      </c>
    </row>
    <row r="30" spans="1:47" ht="13.5">
      <c r="A30" s="651"/>
      <c r="B30" s="1952">
        <v>0.74</v>
      </c>
      <c r="C30" s="1964"/>
      <c r="D30" s="1953" t="s">
        <v>758</v>
      </c>
      <c r="E30" s="1943"/>
      <c r="F30" s="1943"/>
      <c r="G30" s="1944">
        <f t="shared" si="28"/>
        <v>0</v>
      </c>
      <c r="H30" s="694">
        <f t="shared" si="29"/>
        <v>0</v>
      </c>
      <c r="I30" s="1947">
        <v>42</v>
      </c>
      <c r="J30" s="1947">
        <v>3.6</v>
      </c>
      <c r="K30" s="1946">
        <v>0.3</v>
      </c>
      <c r="L30" s="711">
        <v>63</v>
      </c>
      <c r="M30" s="1954">
        <v>2</v>
      </c>
      <c r="N30" s="1950">
        <v>540</v>
      </c>
      <c r="O30" s="1950">
        <v>1800</v>
      </c>
      <c r="P30" s="1950">
        <v>0.015</v>
      </c>
      <c r="Q30" s="1950">
        <v>2.59</v>
      </c>
      <c r="R30" s="1950">
        <v>0.516</v>
      </c>
      <c r="S30" s="1951">
        <v>0.143</v>
      </c>
      <c r="T30" s="726"/>
      <c r="U30" s="968">
        <f t="shared" si="2"/>
        <v>2.3000000000000007</v>
      </c>
      <c r="V30" s="969">
        <f t="shared" si="3"/>
        <v>65.20385000000002</v>
      </c>
      <c r="W30" s="651"/>
      <c r="X30" s="703">
        <f t="shared" si="14"/>
        <v>0</v>
      </c>
      <c r="Y30" s="704">
        <f t="shared" si="15"/>
        <v>0</v>
      </c>
      <c r="Z30" s="704">
        <f t="shared" si="16"/>
        <v>0</v>
      </c>
      <c r="AA30" s="704">
        <f t="shared" si="17"/>
        <v>0</v>
      </c>
      <c r="AB30" s="704">
        <f t="shared" si="18"/>
        <v>0</v>
      </c>
      <c r="AC30" s="705">
        <f t="shared" si="19"/>
        <v>0</v>
      </c>
      <c r="AD30" s="705">
        <f t="shared" si="20"/>
        <v>0</v>
      </c>
      <c r="AE30" s="705">
        <f t="shared" si="21"/>
        <v>0</v>
      </c>
      <c r="AF30" s="705">
        <f t="shared" si="22"/>
        <v>0</v>
      </c>
      <c r="AG30" s="705">
        <f t="shared" si="23"/>
        <v>0</v>
      </c>
      <c r="AH30" s="706">
        <f t="shared" si="24"/>
        <v>0</v>
      </c>
      <c r="AI30" s="648"/>
      <c r="AJ30" s="705">
        <f t="shared" si="25"/>
        <v>0</v>
      </c>
      <c r="AK30" s="705">
        <f t="shared" si="26"/>
        <v>0</v>
      </c>
      <c r="AL30" s="722">
        <f t="shared" si="27"/>
        <v>0</v>
      </c>
      <c r="AM30" s="720">
        <v>61</v>
      </c>
      <c r="AN30" s="650">
        <v>60</v>
      </c>
      <c r="AO30" s="650">
        <v>150</v>
      </c>
      <c r="AQ30" s="723" t="s">
        <v>748</v>
      </c>
      <c r="AR30" s="724">
        <f>AR151+0.5</f>
        <v>0.5</v>
      </c>
      <c r="AS30" s="727">
        <f t="shared" si="30"/>
        <v>0.4265</v>
      </c>
      <c r="AT30" s="727">
        <f t="shared" si="31"/>
        <v>0.4465</v>
      </c>
      <c r="AU30" s="727">
        <f t="shared" si="32"/>
        <v>0.3265</v>
      </c>
    </row>
    <row r="31" spans="1:47" ht="13.5">
      <c r="A31" s="651"/>
      <c r="B31" s="1952">
        <v>0.15</v>
      </c>
      <c r="C31" s="1964" t="s">
        <v>759</v>
      </c>
      <c r="D31" s="1770" t="s">
        <v>1334</v>
      </c>
      <c r="E31" s="1943"/>
      <c r="F31" s="1943"/>
      <c r="G31" s="1944">
        <f t="shared" si="28"/>
        <v>0</v>
      </c>
      <c r="H31" s="694">
        <f t="shared" si="29"/>
        <v>0</v>
      </c>
      <c r="I31" s="1947">
        <v>18</v>
      </c>
      <c r="J31" s="1947">
        <v>0.35</v>
      </c>
      <c r="K31" s="1947">
        <v>0.1</v>
      </c>
      <c r="L31" s="711">
        <v>22</v>
      </c>
      <c r="M31" s="1948">
        <v>0.6</v>
      </c>
      <c r="N31" s="1950">
        <v>200</v>
      </c>
      <c r="O31" s="1950">
        <v>350</v>
      </c>
      <c r="P31" s="1950">
        <v>0.031</v>
      </c>
      <c r="Q31" s="1950">
        <v>0.665</v>
      </c>
      <c r="R31" s="1950">
        <v>0.334</v>
      </c>
      <c r="S31" s="1951">
        <v>0.367</v>
      </c>
      <c r="T31" s="728"/>
      <c r="U31" s="968">
        <f t="shared" si="2"/>
        <v>2.400000000000001</v>
      </c>
      <c r="V31" s="969">
        <f t="shared" si="3"/>
        <v>68.03880000000002</v>
      </c>
      <c r="W31" s="651"/>
      <c r="X31" s="703">
        <f t="shared" si="14"/>
        <v>0</v>
      </c>
      <c r="Y31" s="704">
        <f t="shared" si="15"/>
        <v>0</v>
      </c>
      <c r="Z31" s="704">
        <f t="shared" si="16"/>
        <v>0</v>
      </c>
      <c r="AA31" s="704">
        <f t="shared" si="17"/>
        <v>0</v>
      </c>
      <c r="AB31" s="704">
        <f t="shared" si="18"/>
        <v>0</v>
      </c>
      <c r="AC31" s="705">
        <f t="shared" si="19"/>
        <v>0</v>
      </c>
      <c r="AD31" s="705">
        <f t="shared" si="20"/>
        <v>0</v>
      </c>
      <c r="AE31" s="705">
        <f t="shared" si="21"/>
        <v>0</v>
      </c>
      <c r="AF31" s="705">
        <f t="shared" si="22"/>
        <v>0</v>
      </c>
      <c r="AG31" s="705">
        <f t="shared" si="23"/>
        <v>0</v>
      </c>
      <c r="AH31" s="706">
        <f t="shared" si="24"/>
        <v>0</v>
      </c>
      <c r="AI31" s="648"/>
      <c r="AJ31" s="705">
        <f t="shared" si="25"/>
        <v>0</v>
      </c>
      <c r="AK31" s="705">
        <f t="shared" si="26"/>
        <v>0</v>
      </c>
      <c r="AL31" s="722">
        <f t="shared" si="27"/>
        <v>0</v>
      </c>
      <c r="AM31" s="720">
        <v>5</v>
      </c>
      <c r="AN31" s="650">
        <v>27</v>
      </c>
      <c r="AO31" s="650">
        <v>22</v>
      </c>
      <c r="AQ31" s="723" t="s">
        <v>748</v>
      </c>
      <c r="AR31" s="724">
        <f aca="true" t="shared" si="33" ref="AR31:AR51">AR30+0.5</f>
        <v>1</v>
      </c>
      <c r="AS31" s="727">
        <f t="shared" si="30"/>
        <v>0.853</v>
      </c>
      <c r="AT31" s="727">
        <f t="shared" si="31"/>
        <v>0.893</v>
      </c>
      <c r="AU31" s="727">
        <f t="shared" si="32"/>
        <v>0.653</v>
      </c>
    </row>
    <row r="32" spans="1:47" ht="13.5">
      <c r="A32" s="651"/>
      <c r="B32" s="1952">
        <v>0.95</v>
      </c>
      <c r="C32" s="1964"/>
      <c r="D32" s="1953" t="s">
        <v>758</v>
      </c>
      <c r="E32" s="1943"/>
      <c r="F32" s="1943"/>
      <c r="G32" s="1944">
        <f t="shared" si="28"/>
        <v>0</v>
      </c>
      <c r="H32" s="694">
        <f t="shared" si="29"/>
        <v>0</v>
      </c>
      <c r="I32" s="1947">
        <v>60</v>
      </c>
      <c r="J32" s="1947">
        <v>1</v>
      </c>
      <c r="K32" s="1946">
        <v>0.3</v>
      </c>
      <c r="L32" s="711">
        <v>88</v>
      </c>
      <c r="M32" s="1954">
        <v>1.8</v>
      </c>
      <c r="N32" s="1950">
        <v>800</v>
      </c>
      <c r="O32" s="1950">
        <v>1400</v>
      </c>
      <c r="P32" s="1950">
        <v>0.18</v>
      </c>
      <c r="Q32" s="1950">
        <v>2.8</v>
      </c>
      <c r="R32" s="1949">
        <v>1.2</v>
      </c>
      <c r="S32" s="1951">
        <v>0.44</v>
      </c>
      <c r="T32" s="726"/>
      <c r="U32" s="968">
        <f t="shared" si="2"/>
        <v>2.500000000000001</v>
      </c>
      <c r="V32" s="969">
        <f t="shared" si="3"/>
        <v>70.87375000000003</v>
      </c>
      <c r="W32" s="651"/>
      <c r="X32" s="703">
        <f t="shared" si="14"/>
        <v>0</v>
      </c>
      <c r="Y32" s="704">
        <f t="shared" si="15"/>
        <v>0</v>
      </c>
      <c r="Z32" s="704">
        <f t="shared" si="16"/>
        <v>0</v>
      </c>
      <c r="AA32" s="704">
        <f t="shared" si="17"/>
        <v>0</v>
      </c>
      <c r="AB32" s="704">
        <f t="shared" si="18"/>
        <v>0</v>
      </c>
      <c r="AC32" s="705">
        <f t="shared" si="19"/>
        <v>0</v>
      </c>
      <c r="AD32" s="705">
        <f t="shared" si="20"/>
        <v>0</v>
      </c>
      <c r="AE32" s="705">
        <f t="shared" si="21"/>
        <v>0</v>
      </c>
      <c r="AF32" s="705">
        <f t="shared" si="22"/>
        <v>0</v>
      </c>
      <c r="AG32" s="705">
        <f t="shared" si="23"/>
        <v>0</v>
      </c>
      <c r="AH32" s="706">
        <f t="shared" si="24"/>
        <v>0</v>
      </c>
      <c r="AI32" s="648"/>
      <c r="AJ32" s="705">
        <f t="shared" si="25"/>
        <v>0</v>
      </c>
      <c r="AK32" s="705">
        <f t="shared" si="26"/>
        <v>0</v>
      </c>
      <c r="AL32" s="722">
        <f t="shared" si="27"/>
        <v>0</v>
      </c>
      <c r="AM32" s="720">
        <v>22</v>
      </c>
      <c r="AN32" s="650">
        <v>108</v>
      </c>
      <c r="AO32" s="650">
        <v>74</v>
      </c>
      <c r="AQ32" s="723" t="s">
        <v>748</v>
      </c>
      <c r="AR32" s="724">
        <f t="shared" si="33"/>
        <v>1.5</v>
      </c>
      <c r="AS32" s="727">
        <f t="shared" si="30"/>
        <v>1.2795</v>
      </c>
      <c r="AT32" s="727">
        <f t="shared" si="31"/>
        <v>1.3395000000000001</v>
      </c>
      <c r="AU32" s="727">
        <f t="shared" si="32"/>
        <v>0.9795</v>
      </c>
    </row>
    <row r="33" spans="1:47" ht="13.5">
      <c r="A33" s="651"/>
      <c r="B33" s="1952">
        <v>0.13</v>
      </c>
      <c r="C33" s="1964" t="s">
        <v>760</v>
      </c>
      <c r="D33" s="1953"/>
      <c r="E33" s="1943"/>
      <c r="F33" s="1943"/>
      <c r="G33" s="1944">
        <f t="shared" si="28"/>
        <v>0</v>
      </c>
      <c r="H33" s="694">
        <f t="shared" si="29"/>
        <v>0</v>
      </c>
      <c r="I33" s="1947">
        <v>6</v>
      </c>
      <c r="J33" s="1947">
        <v>0.95</v>
      </c>
      <c r="K33" s="1947">
        <v>0.15</v>
      </c>
      <c r="L33" s="729">
        <v>12</v>
      </c>
      <c r="M33" s="1954">
        <v>0.3</v>
      </c>
      <c r="N33" s="1950">
        <v>100</v>
      </c>
      <c r="O33" s="1949">
        <v>77</v>
      </c>
      <c r="P33" s="1949">
        <v>0.04</v>
      </c>
      <c r="Q33" s="1949">
        <v>0.42</v>
      </c>
      <c r="R33" s="1949"/>
      <c r="S33" s="1966">
        <v>0.05</v>
      </c>
      <c r="T33" s="651"/>
      <c r="U33" s="968">
        <f t="shared" si="2"/>
        <v>2.600000000000001</v>
      </c>
      <c r="V33" s="969">
        <f t="shared" si="3"/>
        <v>73.70870000000002</v>
      </c>
      <c r="W33" s="651"/>
      <c r="X33" s="703">
        <f t="shared" si="14"/>
        <v>0</v>
      </c>
      <c r="Y33" s="704">
        <f t="shared" si="15"/>
        <v>0</v>
      </c>
      <c r="Z33" s="704">
        <f t="shared" si="16"/>
        <v>0</v>
      </c>
      <c r="AA33" s="704">
        <f t="shared" si="17"/>
        <v>0</v>
      </c>
      <c r="AB33" s="704">
        <f t="shared" si="18"/>
        <v>0</v>
      </c>
      <c r="AC33" s="705">
        <f t="shared" si="19"/>
        <v>0</v>
      </c>
      <c r="AD33" s="705">
        <f t="shared" si="20"/>
        <v>0</v>
      </c>
      <c r="AE33" s="705">
        <f t="shared" si="21"/>
        <v>0</v>
      </c>
      <c r="AF33" s="705">
        <f t="shared" si="22"/>
        <v>0</v>
      </c>
      <c r="AG33" s="705">
        <f t="shared" si="23"/>
        <v>0</v>
      </c>
      <c r="AH33" s="706">
        <f t="shared" si="24"/>
        <v>0</v>
      </c>
      <c r="AI33" s="648"/>
      <c r="AJ33" s="705">
        <f t="shared" si="25"/>
        <v>0</v>
      </c>
      <c r="AK33" s="705">
        <f t="shared" si="26"/>
        <v>0</v>
      </c>
      <c r="AL33" s="722">
        <f t="shared" si="27"/>
        <v>0</v>
      </c>
      <c r="AM33" s="731">
        <v>6</v>
      </c>
      <c r="AN33" s="731">
        <v>6</v>
      </c>
      <c r="AO33" s="731">
        <v>12</v>
      </c>
      <c r="AQ33" s="723" t="s">
        <v>107</v>
      </c>
      <c r="AR33" s="724">
        <f t="shared" si="33"/>
        <v>2</v>
      </c>
      <c r="AS33" s="727">
        <f t="shared" si="30"/>
        <v>1.706</v>
      </c>
      <c r="AT33" s="727">
        <f t="shared" si="31"/>
        <v>1.786</v>
      </c>
      <c r="AU33" s="727">
        <f t="shared" si="32"/>
        <v>1.306</v>
      </c>
    </row>
    <row r="34" spans="1:47" ht="13.5">
      <c r="A34" s="651"/>
      <c r="B34" s="1952">
        <v>0.12</v>
      </c>
      <c r="C34" s="1964" t="s">
        <v>761</v>
      </c>
      <c r="D34" s="1953"/>
      <c r="E34" s="1943"/>
      <c r="F34" s="1943"/>
      <c r="G34" s="1944">
        <f t="shared" si="28"/>
        <v>0</v>
      </c>
      <c r="H34" s="694">
        <f t="shared" si="29"/>
        <v>0</v>
      </c>
      <c r="I34" s="1947">
        <v>5.5</v>
      </c>
      <c r="J34" s="1947">
        <v>1.1</v>
      </c>
      <c r="K34" s="1947">
        <v>0.3</v>
      </c>
      <c r="L34" s="709">
        <v>9</v>
      </c>
      <c r="M34" s="1948">
        <v>0.9</v>
      </c>
      <c r="N34" s="1950">
        <v>200</v>
      </c>
      <c r="O34" s="1950">
        <v>160</v>
      </c>
      <c r="P34" s="1950">
        <v>0.02</v>
      </c>
      <c r="Q34" s="1950">
        <v>0.65</v>
      </c>
      <c r="R34" s="1950"/>
      <c r="S34" s="1951">
        <v>0.03</v>
      </c>
      <c r="T34" s="651"/>
      <c r="U34" s="968">
        <f t="shared" si="2"/>
        <v>2.700000000000001</v>
      </c>
      <c r="V34" s="969">
        <f t="shared" si="3"/>
        <v>76.54365000000003</v>
      </c>
      <c r="W34" s="651"/>
      <c r="X34" s="703">
        <f t="shared" si="14"/>
        <v>0</v>
      </c>
      <c r="Y34" s="704">
        <f t="shared" si="15"/>
        <v>0</v>
      </c>
      <c r="Z34" s="704">
        <f t="shared" si="16"/>
        <v>0</v>
      </c>
      <c r="AA34" s="704">
        <f t="shared" si="17"/>
        <v>0</v>
      </c>
      <c r="AB34" s="704">
        <f t="shared" si="18"/>
        <v>0</v>
      </c>
      <c r="AC34" s="705">
        <f t="shared" si="19"/>
        <v>0</v>
      </c>
      <c r="AD34" s="705">
        <f t="shared" si="20"/>
        <v>0</v>
      </c>
      <c r="AE34" s="705">
        <f t="shared" si="21"/>
        <v>0</v>
      </c>
      <c r="AF34" s="705">
        <f t="shared" si="22"/>
        <v>0</v>
      </c>
      <c r="AG34" s="705">
        <f t="shared" si="23"/>
        <v>0</v>
      </c>
      <c r="AH34" s="706">
        <f t="shared" si="24"/>
        <v>0</v>
      </c>
      <c r="AI34" s="648"/>
      <c r="AJ34" s="705">
        <f t="shared" si="25"/>
        <v>0</v>
      </c>
      <c r="AK34" s="705">
        <f t="shared" si="26"/>
        <v>0</v>
      </c>
      <c r="AL34" s="722">
        <f t="shared" si="27"/>
        <v>0</v>
      </c>
      <c r="AM34" s="732">
        <v>29</v>
      </c>
      <c r="AN34" s="650">
        <v>20</v>
      </c>
      <c r="AO34" s="650">
        <v>22</v>
      </c>
      <c r="AQ34" s="723" t="s">
        <v>762</v>
      </c>
      <c r="AR34" s="724">
        <f t="shared" si="33"/>
        <v>2.5</v>
      </c>
      <c r="AS34" s="727">
        <f t="shared" si="30"/>
        <v>2.1325</v>
      </c>
      <c r="AT34" s="727">
        <f t="shared" si="31"/>
        <v>2.2325</v>
      </c>
      <c r="AU34" s="727">
        <f t="shared" si="32"/>
        <v>1.6325</v>
      </c>
    </row>
    <row r="35" spans="1:47" ht="13.5">
      <c r="A35" s="651"/>
      <c r="B35" s="1952">
        <v>0.17</v>
      </c>
      <c r="C35" s="1964" t="s">
        <v>763</v>
      </c>
      <c r="D35" s="1953"/>
      <c r="E35" s="1943">
        <v>2</v>
      </c>
      <c r="F35" s="1943"/>
      <c r="G35" s="1944">
        <f t="shared" si="28"/>
        <v>907.2</v>
      </c>
      <c r="H35" s="694">
        <f t="shared" si="29"/>
        <v>154.22400000000002</v>
      </c>
      <c r="I35" s="1947">
        <v>7</v>
      </c>
      <c r="J35" s="1947">
        <v>3.5</v>
      </c>
      <c r="K35" s="1947">
        <v>0.35</v>
      </c>
      <c r="L35" s="709">
        <v>15</v>
      </c>
      <c r="M35" s="1948">
        <v>1.1</v>
      </c>
      <c r="N35" s="1950">
        <v>150</v>
      </c>
      <c r="O35" s="1950">
        <v>320</v>
      </c>
      <c r="P35" s="1950">
        <v>0.05</v>
      </c>
      <c r="Q35" s="1950">
        <v>0.3</v>
      </c>
      <c r="R35" s="1950">
        <v>0.4</v>
      </c>
      <c r="S35" s="1951">
        <v>0.066</v>
      </c>
      <c r="T35" s="651"/>
      <c r="U35" s="968">
        <f t="shared" si="2"/>
        <v>2.800000000000001</v>
      </c>
      <c r="V35" s="969">
        <f t="shared" si="3"/>
        <v>79.37860000000003</v>
      </c>
      <c r="W35" s="651"/>
      <c r="X35" s="703">
        <f t="shared" si="14"/>
        <v>63.504000000000005</v>
      </c>
      <c r="Y35" s="704">
        <f t="shared" si="15"/>
        <v>31.752000000000002</v>
      </c>
      <c r="Z35" s="704">
        <f t="shared" si="16"/>
        <v>3.1752</v>
      </c>
      <c r="AA35" s="704">
        <f t="shared" si="17"/>
        <v>72.57600000000001</v>
      </c>
      <c r="AB35" s="704">
        <f t="shared" si="18"/>
        <v>0.8316000000000001</v>
      </c>
      <c r="AC35" s="705">
        <f t="shared" si="19"/>
        <v>1360.8</v>
      </c>
      <c r="AD35" s="705">
        <f t="shared" si="20"/>
        <v>2903.04</v>
      </c>
      <c r="AE35" s="705">
        <f t="shared" si="21"/>
        <v>0.45360000000000006</v>
      </c>
      <c r="AF35" s="705">
        <f t="shared" si="22"/>
        <v>2.7216000000000005</v>
      </c>
      <c r="AG35" s="705">
        <f t="shared" si="23"/>
        <v>3.6288000000000005</v>
      </c>
      <c r="AH35" s="706">
        <f t="shared" si="24"/>
        <v>0.5987520000000001</v>
      </c>
      <c r="AI35" s="648"/>
      <c r="AJ35" s="705">
        <f t="shared" si="25"/>
        <v>498.96</v>
      </c>
      <c r="AK35" s="705">
        <f t="shared" si="26"/>
        <v>217.72800000000004</v>
      </c>
      <c r="AL35" s="722">
        <f t="shared" si="27"/>
        <v>535.248</v>
      </c>
      <c r="AM35" s="732">
        <v>55</v>
      </c>
      <c r="AN35" s="650">
        <v>24</v>
      </c>
      <c r="AO35" s="650">
        <v>59</v>
      </c>
      <c r="AQ35" s="723" t="s">
        <v>107</v>
      </c>
      <c r="AR35" s="724">
        <f t="shared" si="33"/>
        <v>3</v>
      </c>
      <c r="AS35" s="727">
        <f t="shared" si="30"/>
        <v>2.559</v>
      </c>
      <c r="AT35" s="727">
        <f t="shared" si="31"/>
        <v>2.6790000000000003</v>
      </c>
      <c r="AU35" s="727">
        <f t="shared" si="32"/>
        <v>1.959</v>
      </c>
    </row>
    <row r="36" spans="1:47" ht="13.5">
      <c r="A36" s="651"/>
      <c r="B36" s="1952">
        <v>0.14</v>
      </c>
      <c r="C36" s="1964" t="s">
        <v>764</v>
      </c>
      <c r="D36" s="1953"/>
      <c r="E36" s="1943"/>
      <c r="F36" s="1943"/>
      <c r="G36" s="1944">
        <f t="shared" si="28"/>
        <v>0</v>
      </c>
      <c r="H36" s="694">
        <f t="shared" si="29"/>
        <v>0</v>
      </c>
      <c r="I36" s="1947">
        <v>10</v>
      </c>
      <c r="J36" s="1947">
        <v>0.3</v>
      </c>
      <c r="K36" s="1946">
        <v>0.1</v>
      </c>
      <c r="L36" s="709">
        <v>15</v>
      </c>
      <c r="M36" s="1954">
        <v>0.3</v>
      </c>
      <c r="N36" s="1949">
        <v>100</v>
      </c>
      <c r="O36" s="1950">
        <v>77</v>
      </c>
      <c r="P36" s="1950">
        <v>0.04</v>
      </c>
      <c r="Q36" s="1950">
        <v>0.42</v>
      </c>
      <c r="R36" s="1950"/>
      <c r="S36" s="1951">
        <v>0.05</v>
      </c>
      <c r="T36" s="651"/>
      <c r="U36" s="968">
        <f t="shared" si="2"/>
        <v>2.9000000000000012</v>
      </c>
      <c r="V36" s="969">
        <f t="shared" si="3"/>
        <v>82.21355000000003</v>
      </c>
      <c r="W36" s="651"/>
      <c r="X36" s="703">
        <f t="shared" si="14"/>
        <v>0</v>
      </c>
      <c r="Y36" s="704">
        <f t="shared" si="15"/>
        <v>0</v>
      </c>
      <c r="Z36" s="704">
        <f t="shared" si="16"/>
        <v>0</v>
      </c>
      <c r="AA36" s="704">
        <f t="shared" si="17"/>
        <v>0</v>
      </c>
      <c r="AB36" s="704">
        <f t="shared" si="18"/>
        <v>0</v>
      </c>
      <c r="AC36" s="705">
        <f t="shared" si="19"/>
        <v>0</v>
      </c>
      <c r="AD36" s="705">
        <f t="shared" si="20"/>
        <v>0</v>
      </c>
      <c r="AE36" s="705">
        <f t="shared" si="21"/>
        <v>0</v>
      </c>
      <c r="AF36" s="705">
        <f t="shared" si="22"/>
        <v>0</v>
      </c>
      <c r="AG36" s="705">
        <f t="shared" si="23"/>
        <v>0</v>
      </c>
      <c r="AH36" s="706">
        <f t="shared" si="24"/>
        <v>0</v>
      </c>
      <c r="AI36" s="648"/>
      <c r="AJ36" s="705">
        <f t="shared" si="25"/>
        <v>0</v>
      </c>
      <c r="AK36" s="705">
        <f t="shared" si="26"/>
        <v>0</v>
      </c>
      <c r="AL36" s="722">
        <f t="shared" si="27"/>
        <v>0</v>
      </c>
      <c r="AM36" s="732">
        <v>6</v>
      </c>
      <c r="AN36" s="650">
        <v>6</v>
      </c>
      <c r="AO36" s="650">
        <v>12</v>
      </c>
      <c r="AQ36" s="723" t="s">
        <v>107</v>
      </c>
      <c r="AR36" s="724">
        <f t="shared" si="33"/>
        <v>3.5</v>
      </c>
      <c r="AS36" s="727">
        <f t="shared" si="30"/>
        <v>2.9855</v>
      </c>
      <c r="AT36" s="727">
        <f t="shared" si="31"/>
        <v>3.1255</v>
      </c>
      <c r="AU36" s="727">
        <f t="shared" si="32"/>
        <v>2.2855</v>
      </c>
    </row>
    <row r="37" spans="1:47" ht="13.5">
      <c r="A37" s="651"/>
      <c r="B37" s="1952">
        <v>0.15</v>
      </c>
      <c r="C37" s="1964" t="s">
        <v>765</v>
      </c>
      <c r="D37" s="1953" t="s">
        <v>766</v>
      </c>
      <c r="E37" s="1943"/>
      <c r="F37" s="1943"/>
      <c r="G37" s="1944">
        <f t="shared" si="28"/>
        <v>0</v>
      </c>
      <c r="H37" s="694">
        <f t="shared" si="29"/>
        <v>0</v>
      </c>
      <c r="I37" s="1947">
        <v>12.5</v>
      </c>
      <c r="J37" s="1947">
        <v>0.5</v>
      </c>
      <c r="K37" s="1947">
        <v>0.1</v>
      </c>
      <c r="L37" s="711">
        <v>16</v>
      </c>
      <c r="M37" s="1948">
        <v>0.3</v>
      </c>
      <c r="N37" s="1950">
        <v>90</v>
      </c>
      <c r="O37" s="1950">
        <v>146</v>
      </c>
      <c r="P37" s="1950">
        <v>0.03</v>
      </c>
      <c r="Q37" s="1950">
        <v>0.15</v>
      </c>
      <c r="R37" s="1950">
        <v>0.309</v>
      </c>
      <c r="S37" s="1951">
        <v>0.05</v>
      </c>
      <c r="T37" s="651"/>
      <c r="U37" s="968">
        <f t="shared" si="2"/>
        <v>3.0000000000000013</v>
      </c>
      <c r="V37" s="969">
        <f t="shared" si="3"/>
        <v>85.04850000000003</v>
      </c>
      <c r="W37" s="651"/>
      <c r="X37" s="703">
        <f t="shared" si="14"/>
        <v>0</v>
      </c>
      <c r="Y37" s="704">
        <f t="shared" si="15"/>
        <v>0</v>
      </c>
      <c r="Z37" s="704">
        <f t="shared" si="16"/>
        <v>0</v>
      </c>
      <c r="AA37" s="704">
        <f t="shared" si="17"/>
        <v>0</v>
      </c>
      <c r="AB37" s="704">
        <f t="shared" si="18"/>
        <v>0</v>
      </c>
      <c r="AC37" s="705">
        <f t="shared" si="19"/>
        <v>0</v>
      </c>
      <c r="AD37" s="705">
        <f t="shared" si="20"/>
        <v>0</v>
      </c>
      <c r="AE37" s="705">
        <f t="shared" si="21"/>
        <v>0</v>
      </c>
      <c r="AF37" s="705">
        <f t="shared" si="22"/>
        <v>0</v>
      </c>
      <c r="AG37" s="705">
        <f t="shared" si="23"/>
        <v>0</v>
      </c>
      <c r="AH37" s="706">
        <f t="shared" si="24"/>
        <v>0</v>
      </c>
      <c r="AI37" s="648"/>
      <c r="AJ37" s="705">
        <f t="shared" si="25"/>
        <v>0</v>
      </c>
      <c r="AK37" s="705">
        <f t="shared" si="26"/>
        <v>0</v>
      </c>
      <c r="AL37" s="722">
        <f t="shared" si="27"/>
        <v>0</v>
      </c>
      <c r="AM37" s="732">
        <v>12</v>
      </c>
      <c r="AN37" s="650">
        <v>18</v>
      </c>
      <c r="AO37" s="650">
        <v>11</v>
      </c>
      <c r="AQ37" s="723" t="s">
        <v>748</v>
      </c>
      <c r="AR37" s="724">
        <f t="shared" si="33"/>
        <v>4</v>
      </c>
      <c r="AS37" s="727">
        <f t="shared" si="30"/>
        <v>3.412</v>
      </c>
      <c r="AT37" s="727">
        <f t="shared" si="31"/>
        <v>3.572</v>
      </c>
      <c r="AU37" s="727">
        <f t="shared" si="32"/>
        <v>2.612</v>
      </c>
    </row>
    <row r="38" spans="1:47" ht="13.5">
      <c r="A38" s="651"/>
      <c r="B38" s="1284">
        <v>0.15</v>
      </c>
      <c r="C38" s="721"/>
      <c r="D38" s="708" t="s">
        <v>767</v>
      </c>
      <c r="E38" s="847"/>
      <c r="F38" s="847"/>
      <c r="G38" s="980">
        <f t="shared" si="28"/>
        <v>0</v>
      </c>
      <c r="H38" s="694">
        <f t="shared" si="29"/>
        <v>0</v>
      </c>
      <c r="I38" s="698">
        <v>10</v>
      </c>
      <c r="J38" s="698">
        <v>0.5</v>
      </c>
      <c r="K38" s="698">
        <v>0.1</v>
      </c>
      <c r="L38" s="711">
        <v>16</v>
      </c>
      <c r="M38" s="710">
        <v>0.3</v>
      </c>
      <c r="N38" s="701">
        <v>90</v>
      </c>
      <c r="O38" s="701">
        <v>173</v>
      </c>
      <c r="P38" s="701">
        <v>0.03</v>
      </c>
      <c r="Q38" s="701">
        <v>0.4</v>
      </c>
      <c r="R38" s="700">
        <v>0.309</v>
      </c>
      <c r="S38" s="702">
        <v>0.04</v>
      </c>
      <c r="T38" s="651"/>
      <c r="U38" s="968">
        <f t="shared" si="2"/>
        <v>3.1000000000000014</v>
      </c>
      <c r="V38" s="969">
        <f t="shared" si="3"/>
        <v>87.88345000000004</v>
      </c>
      <c r="W38" s="651"/>
      <c r="X38" s="703">
        <f t="shared" si="14"/>
        <v>0</v>
      </c>
      <c r="Y38" s="704">
        <f t="shared" si="15"/>
        <v>0</v>
      </c>
      <c r="Z38" s="704">
        <f t="shared" si="16"/>
        <v>0</v>
      </c>
      <c r="AA38" s="704">
        <f t="shared" si="17"/>
        <v>0</v>
      </c>
      <c r="AB38" s="704">
        <f t="shared" si="18"/>
        <v>0</v>
      </c>
      <c r="AC38" s="705">
        <f t="shared" si="19"/>
        <v>0</v>
      </c>
      <c r="AD38" s="705">
        <f t="shared" si="20"/>
        <v>0</v>
      </c>
      <c r="AE38" s="705">
        <f t="shared" si="21"/>
        <v>0</v>
      </c>
      <c r="AF38" s="705">
        <f t="shared" si="22"/>
        <v>0</v>
      </c>
      <c r="AG38" s="705">
        <f t="shared" si="23"/>
        <v>0</v>
      </c>
      <c r="AH38" s="706">
        <f t="shared" si="24"/>
        <v>0</v>
      </c>
      <c r="AI38" s="648"/>
      <c r="AJ38" s="705">
        <f t="shared" si="25"/>
        <v>0</v>
      </c>
      <c r="AK38" s="705">
        <f t="shared" si="26"/>
        <v>0</v>
      </c>
      <c r="AL38" s="722">
        <f t="shared" si="27"/>
        <v>0</v>
      </c>
      <c r="AM38" s="732">
        <v>16</v>
      </c>
      <c r="AN38" s="650">
        <v>9</v>
      </c>
      <c r="AO38" s="650">
        <v>15</v>
      </c>
      <c r="AQ38" s="723" t="s">
        <v>748</v>
      </c>
      <c r="AR38" s="724">
        <f t="shared" si="33"/>
        <v>4.5</v>
      </c>
      <c r="AS38" s="727">
        <f t="shared" si="30"/>
        <v>3.8385</v>
      </c>
      <c r="AT38" s="727">
        <f t="shared" si="31"/>
        <v>4.0185</v>
      </c>
      <c r="AU38" s="727">
        <f t="shared" si="32"/>
        <v>2.9385000000000003</v>
      </c>
    </row>
    <row r="39" spans="1:47" ht="13.5">
      <c r="A39" s="651"/>
      <c r="B39" s="1284">
        <v>0.13</v>
      </c>
      <c r="C39" s="721" t="s">
        <v>768</v>
      </c>
      <c r="D39" s="708"/>
      <c r="E39" s="847"/>
      <c r="F39" s="847"/>
      <c r="G39" s="980">
        <f t="shared" si="28"/>
        <v>0</v>
      </c>
      <c r="H39" s="694">
        <f t="shared" si="29"/>
        <v>0</v>
      </c>
      <c r="I39" s="698">
        <v>3.8</v>
      </c>
      <c r="J39" s="698">
        <v>3</v>
      </c>
      <c r="K39" s="697">
        <v>0.15</v>
      </c>
      <c r="L39" s="711">
        <v>12</v>
      </c>
      <c r="M39" s="710">
        <v>0.8</v>
      </c>
      <c r="N39" s="700">
        <v>90</v>
      </c>
      <c r="O39" s="701">
        <v>85</v>
      </c>
      <c r="P39" s="701">
        <v>0.01</v>
      </c>
      <c r="Q39" s="701">
        <v>0.1</v>
      </c>
      <c r="R39" s="701">
        <v>0.295</v>
      </c>
      <c r="S39" s="702">
        <v>0.06</v>
      </c>
      <c r="T39" s="651"/>
      <c r="U39" s="968">
        <f t="shared" si="2"/>
        <v>3.2000000000000015</v>
      </c>
      <c r="V39" s="969">
        <f t="shared" si="3"/>
        <v>90.71840000000005</v>
      </c>
      <c r="W39" s="651"/>
      <c r="X39" s="703">
        <f t="shared" si="14"/>
        <v>0</v>
      </c>
      <c r="Y39" s="704">
        <f t="shared" si="15"/>
        <v>0</v>
      </c>
      <c r="Z39" s="704">
        <f t="shared" si="16"/>
        <v>0</v>
      </c>
      <c r="AA39" s="704">
        <f t="shared" si="17"/>
        <v>0</v>
      </c>
      <c r="AB39" s="704">
        <f t="shared" si="18"/>
        <v>0</v>
      </c>
      <c r="AC39" s="705">
        <f t="shared" si="19"/>
        <v>0</v>
      </c>
      <c r="AD39" s="705">
        <f t="shared" si="20"/>
        <v>0</v>
      </c>
      <c r="AE39" s="705">
        <f t="shared" si="21"/>
        <v>0</v>
      </c>
      <c r="AF39" s="705">
        <f t="shared" si="22"/>
        <v>0</v>
      </c>
      <c r="AG39" s="705">
        <f t="shared" si="23"/>
        <v>0</v>
      </c>
      <c r="AH39" s="706">
        <f t="shared" si="24"/>
        <v>0</v>
      </c>
      <c r="AI39" s="648"/>
      <c r="AJ39" s="705">
        <f t="shared" si="25"/>
        <v>0</v>
      </c>
      <c r="AK39" s="705">
        <f t="shared" si="26"/>
        <v>0</v>
      </c>
      <c r="AL39" s="722">
        <f t="shared" si="27"/>
        <v>0</v>
      </c>
      <c r="AM39" s="732">
        <v>8</v>
      </c>
      <c r="AN39" s="650">
        <v>6</v>
      </c>
      <c r="AO39" s="650">
        <v>13</v>
      </c>
      <c r="AQ39" s="723"/>
      <c r="AR39" s="724">
        <f t="shared" si="33"/>
        <v>5</v>
      </c>
      <c r="AS39" s="727">
        <f t="shared" si="30"/>
        <v>4.265</v>
      </c>
      <c r="AT39" s="727">
        <f t="shared" si="31"/>
        <v>4.465</v>
      </c>
      <c r="AU39" s="727">
        <f t="shared" si="32"/>
        <v>3.265</v>
      </c>
    </row>
    <row r="40" spans="1:47" ht="13.5">
      <c r="A40" s="651"/>
      <c r="B40" s="1284">
        <v>0.16</v>
      </c>
      <c r="C40" s="721" t="s">
        <v>769</v>
      </c>
      <c r="D40" s="708"/>
      <c r="E40" s="847"/>
      <c r="F40" s="847"/>
      <c r="G40" s="980">
        <f t="shared" si="28"/>
        <v>0</v>
      </c>
      <c r="H40" s="694">
        <f t="shared" si="29"/>
        <v>0</v>
      </c>
      <c r="I40" s="698">
        <v>9</v>
      </c>
      <c r="J40" s="698">
        <v>2.2</v>
      </c>
      <c r="K40" s="697">
        <v>0.15</v>
      </c>
      <c r="L40" s="729">
        <v>12</v>
      </c>
      <c r="M40" s="699">
        <v>1.1</v>
      </c>
      <c r="N40" s="701">
        <v>80</v>
      </c>
      <c r="O40" s="700">
        <v>155</v>
      </c>
      <c r="P40" s="700">
        <v>0.028</v>
      </c>
      <c r="Q40" s="700">
        <v>0.417</v>
      </c>
      <c r="R40" s="700">
        <v>0.135</v>
      </c>
      <c r="S40" s="730">
        <v>0.029</v>
      </c>
      <c r="T40" s="651"/>
      <c r="U40" s="968">
        <f t="shared" si="2"/>
        <v>3.3000000000000016</v>
      </c>
      <c r="V40" s="969">
        <f t="shared" si="3"/>
        <v>93.55335000000004</v>
      </c>
      <c r="W40" s="651"/>
      <c r="X40" s="703">
        <f t="shared" si="14"/>
        <v>0</v>
      </c>
      <c r="Y40" s="704">
        <f t="shared" si="15"/>
        <v>0</v>
      </c>
      <c r="Z40" s="704">
        <f t="shared" si="16"/>
        <v>0</v>
      </c>
      <c r="AA40" s="704">
        <f t="shared" si="17"/>
        <v>0</v>
      </c>
      <c r="AB40" s="704">
        <f t="shared" si="18"/>
        <v>0</v>
      </c>
      <c r="AC40" s="705">
        <f t="shared" si="19"/>
        <v>0</v>
      </c>
      <c r="AD40" s="705">
        <f t="shared" si="20"/>
        <v>0</v>
      </c>
      <c r="AE40" s="705">
        <f t="shared" si="21"/>
        <v>0</v>
      </c>
      <c r="AF40" s="705">
        <f t="shared" si="22"/>
        <v>0</v>
      </c>
      <c r="AG40" s="705">
        <f t="shared" si="23"/>
        <v>0</v>
      </c>
      <c r="AH40" s="706">
        <f t="shared" si="24"/>
        <v>0</v>
      </c>
      <c r="AI40" s="648"/>
      <c r="AJ40" s="705">
        <f t="shared" si="25"/>
        <v>0</v>
      </c>
      <c r="AK40" s="705">
        <f t="shared" si="26"/>
        <v>0</v>
      </c>
      <c r="AL40" s="722">
        <f t="shared" si="27"/>
        <v>0</v>
      </c>
      <c r="AM40" s="733">
        <v>6</v>
      </c>
      <c r="AN40" s="733">
        <v>7</v>
      </c>
      <c r="AO40" s="733">
        <v>16</v>
      </c>
      <c r="AQ40" s="723" t="s">
        <v>748</v>
      </c>
      <c r="AR40" s="724">
        <f t="shared" si="33"/>
        <v>5.5</v>
      </c>
      <c r="AS40" s="727">
        <f t="shared" si="30"/>
        <v>4.6915</v>
      </c>
      <c r="AT40" s="727">
        <f t="shared" si="31"/>
        <v>4.9115</v>
      </c>
      <c r="AU40" s="727">
        <f t="shared" si="32"/>
        <v>3.5915</v>
      </c>
    </row>
    <row r="41" spans="1:47" ht="13.5">
      <c r="A41" s="651"/>
      <c r="B41" s="1284">
        <v>0.85</v>
      </c>
      <c r="C41" s="721" t="s">
        <v>770</v>
      </c>
      <c r="D41" s="708"/>
      <c r="E41" s="847"/>
      <c r="F41" s="847"/>
      <c r="G41" s="980">
        <f t="shared" si="28"/>
        <v>0</v>
      </c>
      <c r="H41" s="694">
        <f t="shared" si="29"/>
        <v>0</v>
      </c>
      <c r="I41" s="698">
        <v>64</v>
      </c>
      <c r="J41" s="698">
        <v>1</v>
      </c>
      <c r="K41" s="697">
        <v>0.5</v>
      </c>
      <c r="L41" s="711">
        <v>75</v>
      </c>
      <c r="M41" s="710">
        <v>0.8</v>
      </c>
      <c r="N41" s="700">
        <v>90</v>
      </c>
      <c r="O41" s="701">
        <v>656</v>
      </c>
      <c r="P41" s="701">
        <v>0.05</v>
      </c>
      <c r="Q41" s="701">
        <v>1.27</v>
      </c>
      <c r="R41" s="701">
        <v>0.58</v>
      </c>
      <c r="S41" s="702">
        <v>0.17</v>
      </c>
      <c r="T41" s="651"/>
      <c r="U41" s="968">
        <f t="shared" si="2"/>
        <v>3.4000000000000017</v>
      </c>
      <c r="V41" s="969">
        <f t="shared" si="3"/>
        <v>96.38830000000004</v>
      </c>
      <c r="W41" s="651"/>
      <c r="X41" s="703">
        <f t="shared" si="14"/>
        <v>0</v>
      </c>
      <c r="Y41" s="704">
        <f t="shared" si="15"/>
        <v>0</v>
      </c>
      <c r="Z41" s="704">
        <f t="shared" si="16"/>
        <v>0</v>
      </c>
      <c r="AA41" s="704">
        <f t="shared" si="17"/>
        <v>0</v>
      </c>
      <c r="AB41" s="704">
        <f t="shared" si="18"/>
        <v>0</v>
      </c>
      <c r="AC41" s="705">
        <f t="shared" si="19"/>
        <v>0</v>
      </c>
      <c r="AD41" s="705">
        <f t="shared" si="20"/>
        <v>0</v>
      </c>
      <c r="AE41" s="705">
        <f t="shared" si="21"/>
        <v>0</v>
      </c>
      <c r="AF41" s="705">
        <f t="shared" si="22"/>
        <v>0</v>
      </c>
      <c r="AG41" s="705">
        <f t="shared" si="23"/>
        <v>0</v>
      </c>
      <c r="AH41" s="706">
        <f t="shared" si="24"/>
        <v>0</v>
      </c>
      <c r="AI41" s="648"/>
      <c r="AJ41" s="705">
        <f t="shared" si="25"/>
        <v>0</v>
      </c>
      <c r="AK41" s="705">
        <f t="shared" si="26"/>
        <v>0</v>
      </c>
      <c r="AL41" s="722">
        <f t="shared" si="27"/>
        <v>0</v>
      </c>
      <c r="AM41" s="720">
        <v>39</v>
      </c>
      <c r="AN41" s="650">
        <v>43</v>
      </c>
      <c r="AO41" s="650">
        <v>62</v>
      </c>
      <c r="AQ41" s="723" t="s">
        <v>748</v>
      </c>
      <c r="AR41" s="724">
        <f t="shared" si="33"/>
        <v>6</v>
      </c>
      <c r="AS41" s="727">
        <f t="shared" si="30"/>
        <v>5.118</v>
      </c>
      <c r="AT41" s="727">
        <f t="shared" si="31"/>
        <v>5.3580000000000005</v>
      </c>
      <c r="AU41" s="727">
        <f t="shared" si="32"/>
        <v>3.918</v>
      </c>
    </row>
    <row r="42" spans="1:47" ht="13.5">
      <c r="A42" s="651"/>
      <c r="B42" s="1284">
        <v>0.2</v>
      </c>
      <c r="C42" s="721" t="s">
        <v>771</v>
      </c>
      <c r="D42" s="708"/>
      <c r="E42" s="847"/>
      <c r="F42" s="847"/>
      <c r="G42" s="980">
        <f t="shared" si="28"/>
        <v>0</v>
      </c>
      <c r="H42" s="694">
        <f t="shared" si="29"/>
        <v>0</v>
      </c>
      <c r="I42" s="698">
        <v>11.5</v>
      </c>
      <c r="J42" s="698">
        <v>1.05</v>
      </c>
      <c r="K42" s="698">
        <v>0.55</v>
      </c>
      <c r="L42" s="711">
        <v>18</v>
      </c>
      <c r="M42" s="710">
        <v>0.5</v>
      </c>
      <c r="N42" s="701">
        <v>200</v>
      </c>
      <c r="O42" s="701">
        <v>280</v>
      </c>
      <c r="P42" s="701">
        <v>0.07</v>
      </c>
      <c r="Q42" s="701">
        <v>0.5</v>
      </c>
      <c r="R42" s="701">
        <v>0.14</v>
      </c>
      <c r="S42" s="702">
        <v>0.23</v>
      </c>
      <c r="T42" s="651"/>
      <c r="U42" s="968">
        <f t="shared" si="2"/>
        <v>3.5000000000000018</v>
      </c>
      <c r="V42" s="969">
        <f t="shared" si="3"/>
        <v>99.22325000000005</v>
      </c>
      <c r="W42" s="651"/>
      <c r="X42" s="703">
        <f t="shared" si="14"/>
        <v>0</v>
      </c>
      <c r="Y42" s="704">
        <f t="shared" si="15"/>
        <v>0</v>
      </c>
      <c r="Z42" s="704">
        <f t="shared" si="16"/>
        <v>0</v>
      </c>
      <c r="AA42" s="704">
        <f t="shared" si="17"/>
        <v>0</v>
      </c>
      <c r="AB42" s="704">
        <f t="shared" si="18"/>
        <v>0</v>
      </c>
      <c r="AC42" s="705">
        <f t="shared" si="19"/>
        <v>0</v>
      </c>
      <c r="AD42" s="705">
        <f t="shared" si="20"/>
        <v>0</v>
      </c>
      <c r="AE42" s="705">
        <f t="shared" si="21"/>
        <v>0</v>
      </c>
      <c r="AF42" s="705">
        <f t="shared" si="22"/>
        <v>0</v>
      </c>
      <c r="AG42" s="705">
        <f t="shared" si="23"/>
        <v>0</v>
      </c>
      <c r="AH42" s="706">
        <f t="shared" si="24"/>
        <v>0</v>
      </c>
      <c r="AI42" s="648"/>
      <c r="AJ42" s="705">
        <f t="shared" si="25"/>
        <v>0</v>
      </c>
      <c r="AK42" s="705">
        <f t="shared" si="26"/>
        <v>0</v>
      </c>
      <c r="AL42" s="722">
        <f t="shared" si="27"/>
        <v>0</v>
      </c>
      <c r="AM42" s="720">
        <v>36</v>
      </c>
      <c r="AN42" s="650">
        <v>0</v>
      </c>
      <c r="AO42" s="650">
        <v>30</v>
      </c>
      <c r="AQ42" s="723" t="s">
        <v>107</v>
      </c>
      <c r="AR42" s="724">
        <f t="shared" si="33"/>
        <v>6.5</v>
      </c>
      <c r="AS42" s="727">
        <f t="shared" si="30"/>
        <v>5.5445</v>
      </c>
      <c r="AT42" s="727">
        <f t="shared" si="31"/>
        <v>5.8045</v>
      </c>
      <c r="AU42" s="727">
        <f t="shared" si="32"/>
        <v>4.2445</v>
      </c>
    </row>
    <row r="43" spans="1:47" ht="13.5">
      <c r="A43" s="651"/>
      <c r="B43" s="1284">
        <v>0</v>
      </c>
      <c r="C43" s="721"/>
      <c r="D43" s="708" t="s">
        <v>772</v>
      </c>
      <c r="E43" s="847"/>
      <c r="F43" s="847"/>
      <c r="G43" s="980">
        <f t="shared" si="28"/>
        <v>0</v>
      </c>
      <c r="H43" s="694">
        <f t="shared" si="29"/>
        <v>0</v>
      </c>
      <c r="I43" s="697">
        <v>12</v>
      </c>
      <c r="J43" s="697">
        <v>1</v>
      </c>
      <c r="K43" s="697">
        <v>0.31</v>
      </c>
      <c r="L43" s="729">
        <v>18.3</v>
      </c>
      <c r="M43" s="710">
        <v>0.5</v>
      </c>
      <c r="N43" s="700">
        <v>200</v>
      </c>
      <c r="O43" s="700">
        <v>280</v>
      </c>
      <c r="P43" s="700">
        <v>0.07</v>
      </c>
      <c r="Q43" s="700">
        <v>0.5</v>
      </c>
      <c r="R43" s="700">
        <v>0.14</v>
      </c>
      <c r="S43" s="730">
        <v>0.23</v>
      </c>
      <c r="T43" s="651"/>
      <c r="U43" s="968">
        <f t="shared" si="2"/>
        <v>3.600000000000002</v>
      </c>
      <c r="V43" s="969">
        <f t="shared" si="3"/>
        <v>102.05820000000006</v>
      </c>
      <c r="W43" s="651"/>
      <c r="X43" s="703">
        <f t="shared" si="14"/>
        <v>0</v>
      </c>
      <c r="Y43" s="704">
        <f t="shared" si="15"/>
        <v>0</v>
      </c>
      <c r="Z43" s="704">
        <f t="shared" si="16"/>
        <v>0</v>
      </c>
      <c r="AA43" s="704">
        <f t="shared" si="17"/>
        <v>0</v>
      </c>
      <c r="AB43" s="704">
        <f t="shared" si="18"/>
        <v>0</v>
      </c>
      <c r="AC43" s="705">
        <f t="shared" si="19"/>
        <v>0</v>
      </c>
      <c r="AD43" s="705">
        <f t="shared" si="20"/>
        <v>0</v>
      </c>
      <c r="AE43" s="705">
        <f t="shared" si="21"/>
        <v>0</v>
      </c>
      <c r="AF43" s="705">
        <f t="shared" si="22"/>
        <v>0</v>
      </c>
      <c r="AG43" s="705">
        <f t="shared" si="23"/>
        <v>0</v>
      </c>
      <c r="AH43" s="706">
        <f t="shared" si="24"/>
        <v>0</v>
      </c>
      <c r="AI43" s="648"/>
      <c r="AJ43" s="705">
        <f t="shared" si="25"/>
        <v>0</v>
      </c>
      <c r="AK43" s="705">
        <f t="shared" si="26"/>
        <v>0</v>
      </c>
      <c r="AL43" s="722">
        <f t="shared" si="27"/>
        <v>0</v>
      </c>
      <c r="AM43" s="733">
        <v>38</v>
      </c>
      <c r="AN43" s="733">
        <v>5</v>
      </c>
      <c r="AO43" s="733">
        <v>30</v>
      </c>
      <c r="AQ43" s="723" t="s">
        <v>107</v>
      </c>
      <c r="AR43" s="724">
        <f t="shared" si="33"/>
        <v>7</v>
      </c>
      <c r="AS43" s="727">
        <f t="shared" si="30"/>
        <v>5.971</v>
      </c>
      <c r="AT43" s="727">
        <f t="shared" si="31"/>
        <v>6.251</v>
      </c>
      <c r="AU43" s="727">
        <f t="shared" si="32"/>
        <v>4.571</v>
      </c>
    </row>
    <row r="44" spans="1:47" ht="13.5">
      <c r="A44" s="651"/>
      <c r="B44" s="1284">
        <v>0.21</v>
      </c>
      <c r="C44" s="721" t="s">
        <v>773</v>
      </c>
      <c r="D44" s="708" t="s">
        <v>757</v>
      </c>
      <c r="E44" s="847"/>
      <c r="F44" s="847"/>
      <c r="G44" s="980">
        <f t="shared" si="28"/>
        <v>0</v>
      </c>
      <c r="H44" s="694">
        <f t="shared" si="29"/>
        <v>0</v>
      </c>
      <c r="I44" s="698">
        <v>15</v>
      </c>
      <c r="J44" s="698">
        <v>0.4</v>
      </c>
      <c r="K44" s="697">
        <v>0.1</v>
      </c>
      <c r="L44" s="711">
        <v>19</v>
      </c>
      <c r="M44" s="710">
        <v>0.5</v>
      </c>
      <c r="N44" s="700">
        <v>90</v>
      </c>
      <c r="O44" s="701">
        <v>232</v>
      </c>
      <c r="P44" s="701">
        <v>0.06</v>
      </c>
      <c r="Q44" s="701">
        <v>0.4</v>
      </c>
      <c r="R44" s="701">
        <v>0.3</v>
      </c>
      <c r="S44" s="702">
        <v>0.113</v>
      </c>
      <c r="T44" s="651"/>
      <c r="U44" s="968">
        <f t="shared" si="2"/>
        <v>3.700000000000002</v>
      </c>
      <c r="V44" s="969">
        <f t="shared" si="3"/>
        <v>104.89315000000005</v>
      </c>
      <c r="W44" s="651"/>
      <c r="X44" s="703">
        <f t="shared" si="14"/>
        <v>0</v>
      </c>
      <c r="Y44" s="704">
        <f t="shared" si="15"/>
        <v>0</v>
      </c>
      <c r="Z44" s="704">
        <f t="shared" si="16"/>
        <v>0</v>
      </c>
      <c r="AA44" s="704">
        <f t="shared" si="17"/>
        <v>0</v>
      </c>
      <c r="AB44" s="704">
        <f t="shared" si="18"/>
        <v>0</v>
      </c>
      <c r="AC44" s="705">
        <f t="shared" si="19"/>
        <v>0</v>
      </c>
      <c r="AD44" s="705">
        <f t="shared" si="20"/>
        <v>0</v>
      </c>
      <c r="AE44" s="705">
        <f t="shared" si="21"/>
        <v>0</v>
      </c>
      <c r="AF44" s="705">
        <f t="shared" si="22"/>
        <v>0</v>
      </c>
      <c r="AG44" s="705">
        <f t="shared" si="23"/>
        <v>0</v>
      </c>
      <c r="AH44" s="706">
        <f t="shared" si="24"/>
        <v>0</v>
      </c>
      <c r="AI44" s="648"/>
      <c r="AJ44" s="705">
        <f t="shared" si="25"/>
        <v>0</v>
      </c>
      <c r="AK44" s="705">
        <f t="shared" si="26"/>
        <v>0</v>
      </c>
      <c r="AL44" s="722">
        <f t="shared" si="27"/>
        <v>0</v>
      </c>
      <c r="AM44" s="720">
        <v>35</v>
      </c>
      <c r="AN44" s="650">
        <v>17</v>
      </c>
      <c r="AO44" s="650">
        <v>12</v>
      </c>
      <c r="AQ44" s="723" t="s">
        <v>748</v>
      </c>
      <c r="AR44" s="724">
        <f t="shared" si="33"/>
        <v>7.5</v>
      </c>
      <c r="AS44" s="727">
        <f t="shared" si="30"/>
        <v>6.3975</v>
      </c>
      <c r="AT44" s="727">
        <f t="shared" si="31"/>
        <v>6.6975</v>
      </c>
      <c r="AU44" s="727">
        <f t="shared" si="32"/>
        <v>4.8975</v>
      </c>
    </row>
    <row r="45" spans="1:47" ht="13.5">
      <c r="A45" s="651"/>
      <c r="B45" s="1284">
        <v>0.7</v>
      </c>
      <c r="C45" s="721"/>
      <c r="D45" s="708" t="s">
        <v>758</v>
      </c>
      <c r="E45" s="847"/>
      <c r="F45" s="847"/>
      <c r="G45" s="980">
        <f t="shared" si="28"/>
        <v>0</v>
      </c>
      <c r="H45" s="694">
        <f t="shared" si="29"/>
        <v>0</v>
      </c>
      <c r="I45" s="698">
        <v>48</v>
      </c>
      <c r="J45" s="698">
        <v>2.5</v>
      </c>
      <c r="K45" s="697">
        <v>0.5</v>
      </c>
      <c r="L45" s="711">
        <v>64</v>
      </c>
      <c r="M45" s="710">
        <v>1.7</v>
      </c>
      <c r="N45" s="700">
        <v>300</v>
      </c>
      <c r="O45" s="701">
        <v>680</v>
      </c>
      <c r="P45" s="701">
        <v>0.085</v>
      </c>
      <c r="Q45" s="701">
        <v>0.619</v>
      </c>
      <c r="R45" s="701">
        <v>0.434</v>
      </c>
      <c r="S45" s="702">
        <v>0</v>
      </c>
      <c r="T45" s="651"/>
      <c r="U45" s="968">
        <f t="shared" si="2"/>
        <v>3.800000000000002</v>
      </c>
      <c r="V45" s="969">
        <f t="shared" si="3"/>
        <v>107.72810000000005</v>
      </c>
      <c r="W45" s="651"/>
      <c r="X45" s="703">
        <f t="shared" si="14"/>
        <v>0</v>
      </c>
      <c r="Y45" s="704">
        <f t="shared" si="15"/>
        <v>0</v>
      </c>
      <c r="Z45" s="704">
        <f t="shared" si="16"/>
        <v>0</v>
      </c>
      <c r="AA45" s="704">
        <f t="shared" si="17"/>
        <v>0</v>
      </c>
      <c r="AB45" s="704">
        <f t="shared" si="18"/>
        <v>0</v>
      </c>
      <c r="AC45" s="705">
        <f t="shared" si="19"/>
        <v>0</v>
      </c>
      <c r="AD45" s="705">
        <f t="shared" si="20"/>
        <v>0</v>
      </c>
      <c r="AE45" s="705">
        <f t="shared" si="21"/>
        <v>0</v>
      </c>
      <c r="AF45" s="705">
        <f t="shared" si="22"/>
        <v>0</v>
      </c>
      <c r="AG45" s="705">
        <f t="shared" si="23"/>
        <v>0</v>
      </c>
      <c r="AH45" s="706">
        <f t="shared" si="24"/>
        <v>0</v>
      </c>
      <c r="AI45" s="648"/>
      <c r="AJ45" s="705">
        <f t="shared" si="25"/>
        <v>0</v>
      </c>
      <c r="AK45" s="705">
        <f t="shared" si="26"/>
        <v>0</v>
      </c>
      <c r="AL45" s="722">
        <f t="shared" si="27"/>
        <v>0</v>
      </c>
      <c r="AM45" s="720">
        <v>162</v>
      </c>
      <c r="AN45" s="650">
        <v>68</v>
      </c>
      <c r="AO45" s="650">
        <v>67</v>
      </c>
      <c r="AQ45" s="723" t="s">
        <v>748</v>
      </c>
      <c r="AR45" s="724">
        <f t="shared" si="33"/>
        <v>8</v>
      </c>
      <c r="AS45" s="727">
        <f t="shared" si="30"/>
        <v>6.824</v>
      </c>
      <c r="AT45" s="727">
        <f t="shared" si="31"/>
        <v>7.144</v>
      </c>
      <c r="AU45" s="727">
        <f t="shared" si="32"/>
        <v>5.224</v>
      </c>
    </row>
    <row r="46" spans="1:47" ht="13.5">
      <c r="A46" s="651"/>
      <c r="B46" s="1284">
        <v>0.35</v>
      </c>
      <c r="C46" s="721" t="s">
        <v>774</v>
      </c>
      <c r="D46" s="708" t="s">
        <v>747</v>
      </c>
      <c r="E46" s="847"/>
      <c r="F46" s="847"/>
      <c r="G46" s="980">
        <f t="shared" si="28"/>
        <v>0</v>
      </c>
      <c r="H46" s="694">
        <f t="shared" si="29"/>
        <v>0</v>
      </c>
      <c r="I46" s="698">
        <v>5</v>
      </c>
      <c r="J46" s="698">
        <v>1.7</v>
      </c>
      <c r="K46" s="698">
        <v>0.1</v>
      </c>
      <c r="L46" s="711">
        <v>10</v>
      </c>
      <c r="M46" s="699">
        <v>0.9</v>
      </c>
      <c r="N46" s="701">
        <v>160</v>
      </c>
      <c r="O46" s="701">
        <v>198</v>
      </c>
      <c r="P46" s="701">
        <v>0.04</v>
      </c>
      <c r="Q46" s="701">
        <v>0.3</v>
      </c>
      <c r="R46" s="701">
        <v>0.286</v>
      </c>
      <c r="S46" s="702">
        <v>0</v>
      </c>
      <c r="T46" s="651"/>
      <c r="U46" s="968">
        <f t="shared" si="2"/>
        <v>3.900000000000002</v>
      </c>
      <c r="V46" s="970">
        <f t="shared" si="3"/>
        <v>110.56305000000006</v>
      </c>
      <c r="W46" s="734"/>
      <c r="X46" s="703">
        <f t="shared" si="14"/>
        <v>0</v>
      </c>
      <c r="Y46" s="704">
        <f t="shared" si="15"/>
        <v>0</v>
      </c>
      <c r="Z46" s="704">
        <f t="shared" si="16"/>
        <v>0</v>
      </c>
      <c r="AA46" s="704">
        <f t="shared" si="17"/>
        <v>0</v>
      </c>
      <c r="AB46" s="704">
        <f t="shared" si="18"/>
        <v>0</v>
      </c>
      <c r="AC46" s="705">
        <f t="shared" si="19"/>
        <v>0</v>
      </c>
      <c r="AD46" s="705">
        <f t="shared" si="20"/>
        <v>0</v>
      </c>
      <c r="AE46" s="705">
        <f t="shared" si="21"/>
        <v>0</v>
      </c>
      <c r="AF46" s="705">
        <f t="shared" si="22"/>
        <v>0</v>
      </c>
      <c r="AG46" s="705">
        <f t="shared" si="23"/>
        <v>0</v>
      </c>
      <c r="AH46" s="706">
        <f t="shared" si="24"/>
        <v>0</v>
      </c>
      <c r="AI46" s="648"/>
      <c r="AJ46" s="705">
        <f t="shared" si="25"/>
        <v>0</v>
      </c>
      <c r="AK46" s="705">
        <f t="shared" si="26"/>
        <v>0</v>
      </c>
      <c r="AL46" s="722">
        <f t="shared" si="27"/>
        <v>0</v>
      </c>
      <c r="AM46" s="720">
        <v>25</v>
      </c>
      <c r="AN46" s="650">
        <v>10</v>
      </c>
      <c r="AO46" s="650">
        <v>27</v>
      </c>
      <c r="AQ46" s="723" t="s">
        <v>762</v>
      </c>
      <c r="AR46" s="724">
        <f t="shared" si="33"/>
        <v>8.5</v>
      </c>
      <c r="AS46" s="727">
        <f t="shared" si="30"/>
        <v>7.2505</v>
      </c>
      <c r="AT46" s="727">
        <f t="shared" si="31"/>
        <v>7.5905000000000005</v>
      </c>
      <c r="AU46" s="727">
        <f t="shared" si="32"/>
        <v>5.5505</v>
      </c>
    </row>
    <row r="47" spans="1:47" ht="13.5">
      <c r="A47" s="651"/>
      <c r="B47" s="1284">
        <v>0.35</v>
      </c>
      <c r="C47" s="721"/>
      <c r="D47" s="708" t="s">
        <v>750</v>
      </c>
      <c r="E47" s="847"/>
      <c r="F47" s="847"/>
      <c r="G47" s="980">
        <f t="shared" si="28"/>
        <v>0</v>
      </c>
      <c r="H47" s="694">
        <f t="shared" si="29"/>
        <v>0</v>
      </c>
      <c r="I47" s="698">
        <v>8.5</v>
      </c>
      <c r="J47" s="698">
        <v>1.7</v>
      </c>
      <c r="K47" s="698">
        <v>0.1</v>
      </c>
      <c r="L47" s="729">
        <v>10</v>
      </c>
      <c r="M47" s="699">
        <v>0.9</v>
      </c>
      <c r="N47" s="701">
        <v>160</v>
      </c>
      <c r="O47" s="701">
        <v>198</v>
      </c>
      <c r="P47" s="701">
        <v>0.04</v>
      </c>
      <c r="Q47" s="701">
        <v>0.3</v>
      </c>
      <c r="R47" s="701">
        <v>0.286</v>
      </c>
      <c r="S47" s="702">
        <v>0</v>
      </c>
      <c r="T47" s="651"/>
      <c r="U47" s="968">
        <f t="shared" si="2"/>
        <v>4.000000000000002</v>
      </c>
      <c r="V47" s="970">
        <f t="shared" si="3"/>
        <v>113.39800000000005</v>
      </c>
      <c r="W47" s="651"/>
      <c r="X47" s="703">
        <f t="shared" si="14"/>
        <v>0</v>
      </c>
      <c r="Y47" s="704">
        <f t="shared" si="15"/>
        <v>0</v>
      </c>
      <c r="Z47" s="704">
        <f t="shared" si="16"/>
        <v>0</v>
      </c>
      <c r="AA47" s="704">
        <f t="shared" si="17"/>
        <v>0</v>
      </c>
      <c r="AB47" s="704">
        <f t="shared" si="18"/>
        <v>0</v>
      </c>
      <c r="AC47" s="705">
        <f t="shared" si="19"/>
        <v>0</v>
      </c>
      <c r="AD47" s="705">
        <f t="shared" si="20"/>
        <v>0</v>
      </c>
      <c r="AE47" s="705">
        <f t="shared" si="21"/>
        <v>0</v>
      </c>
      <c r="AF47" s="705">
        <f t="shared" si="22"/>
        <v>0</v>
      </c>
      <c r="AG47" s="705">
        <f t="shared" si="23"/>
        <v>0</v>
      </c>
      <c r="AH47" s="706">
        <f t="shared" si="24"/>
        <v>0</v>
      </c>
      <c r="AI47" s="648"/>
      <c r="AJ47" s="705">
        <f t="shared" si="25"/>
        <v>0</v>
      </c>
      <c r="AK47" s="705">
        <f t="shared" si="26"/>
        <v>0</v>
      </c>
      <c r="AL47" s="722">
        <f t="shared" si="27"/>
        <v>0</v>
      </c>
      <c r="AM47" s="720">
        <v>25</v>
      </c>
      <c r="AN47" s="650">
        <v>10</v>
      </c>
      <c r="AO47" s="650">
        <v>27</v>
      </c>
      <c r="AQ47" s="723" t="s">
        <v>762</v>
      </c>
      <c r="AR47" s="724">
        <f t="shared" si="33"/>
        <v>9</v>
      </c>
      <c r="AS47" s="727">
        <f t="shared" si="30"/>
        <v>7.677</v>
      </c>
      <c r="AT47" s="727">
        <f t="shared" si="31"/>
        <v>8.037</v>
      </c>
      <c r="AU47" s="727">
        <f t="shared" si="32"/>
        <v>5.877000000000001</v>
      </c>
    </row>
    <row r="48" spans="1:47" ht="13.5">
      <c r="A48" s="651"/>
      <c r="B48" s="1284">
        <v>0.2</v>
      </c>
      <c r="C48" s="721" t="s">
        <v>775</v>
      </c>
      <c r="D48" s="708" t="s">
        <v>776</v>
      </c>
      <c r="E48" s="847"/>
      <c r="F48" s="847"/>
      <c r="G48" s="980">
        <f t="shared" si="28"/>
        <v>0</v>
      </c>
      <c r="H48" s="694">
        <f t="shared" si="29"/>
        <v>0</v>
      </c>
      <c r="I48" s="698">
        <v>16.2</v>
      </c>
      <c r="J48" s="698">
        <v>0.85</v>
      </c>
      <c r="K48" s="698">
        <v>0.02</v>
      </c>
      <c r="L48" s="711">
        <v>17</v>
      </c>
      <c r="M48" s="710">
        <v>0.4</v>
      </c>
      <c r="N48" s="701">
        <v>100</v>
      </c>
      <c r="O48" s="701">
        <v>190</v>
      </c>
      <c r="P48" s="701">
        <v>0.09</v>
      </c>
      <c r="Q48" s="701">
        <v>0.3</v>
      </c>
      <c r="R48" s="701">
        <v>0.024</v>
      </c>
      <c r="S48" s="702">
        <v>0.11</v>
      </c>
      <c r="T48" s="651"/>
      <c r="U48" s="968">
        <f t="shared" si="2"/>
        <v>4.100000000000001</v>
      </c>
      <c r="V48" s="970">
        <f t="shared" si="3"/>
        <v>116.23295000000003</v>
      </c>
      <c r="W48" s="651"/>
      <c r="X48" s="703">
        <f t="shared" si="14"/>
        <v>0</v>
      </c>
      <c r="Y48" s="704">
        <f t="shared" si="15"/>
        <v>0</v>
      </c>
      <c r="Z48" s="704">
        <f t="shared" si="16"/>
        <v>0</v>
      </c>
      <c r="AA48" s="704">
        <f t="shared" si="17"/>
        <v>0</v>
      </c>
      <c r="AB48" s="704">
        <f t="shared" si="18"/>
        <v>0</v>
      </c>
      <c r="AC48" s="705">
        <f t="shared" si="19"/>
        <v>0</v>
      </c>
      <c r="AD48" s="705">
        <f t="shared" si="20"/>
        <v>0</v>
      </c>
      <c r="AE48" s="705">
        <f t="shared" si="21"/>
        <v>0</v>
      </c>
      <c r="AF48" s="705">
        <f t="shared" si="22"/>
        <v>0</v>
      </c>
      <c r="AG48" s="705">
        <f t="shared" si="23"/>
        <v>0</v>
      </c>
      <c r="AH48" s="706">
        <f t="shared" si="24"/>
        <v>0</v>
      </c>
      <c r="AI48" s="648"/>
      <c r="AJ48" s="705">
        <f t="shared" si="25"/>
        <v>0</v>
      </c>
      <c r="AK48" s="705">
        <f t="shared" si="26"/>
        <v>0</v>
      </c>
      <c r="AL48" s="722">
        <f t="shared" si="27"/>
        <v>0</v>
      </c>
      <c r="AM48" s="720">
        <v>14</v>
      </c>
      <c r="AN48" s="650">
        <v>5</v>
      </c>
      <c r="AO48" s="650">
        <v>10</v>
      </c>
      <c r="AQ48" s="723" t="s">
        <v>777</v>
      </c>
      <c r="AR48" s="724">
        <f t="shared" si="33"/>
        <v>9.5</v>
      </c>
      <c r="AS48" s="727">
        <f t="shared" si="30"/>
        <v>8.1035</v>
      </c>
      <c r="AT48" s="727">
        <f t="shared" si="31"/>
        <v>8.4835</v>
      </c>
      <c r="AU48" s="727">
        <f t="shared" si="32"/>
        <v>6.2035</v>
      </c>
    </row>
    <row r="49" spans="1:47" ht="13.5">
      <c r="A49" s="651"/>
      <c r="B49" s="1284">
        <v>0.18</v>
      </c>
      <c r="C49" s="721"/>
      <c r="D49" s="708" t="s">
        <v>778</v>
      </c>
      <c r="E49" s="847"/>
      <c r="F49" s="847"/>
      <c r="G49" s="980">
        <f t="shared" si="28"/>
        <v>0</v>
      </c>
      <c r="H49" s="694">
        <f t="shared" si="29"/>
        <v>0</v>
      </c>
      <c r="I49" s="698">
        <v>15.5</v>
      </c>
      <c r="J49" s="698">
        <v>0.85</v>
      </c>
      <c r="K49" s="698">
        <v>0.2</v>
      </c>
      <c r="L49" s="711">
        <v>18.1</v>
      </c>
      <c r="M49" s="699">
        <v>0.4</v>
      </c>
      <c r="N49" s="701">
        <v>100</v>
      </c>
      <c r="O49" s="701">
        <v>190</v>
      </c>
      <c r="P49" s="701">
        <v>0.07</v>
      </c>
      <c r="Q49" s="701">
        <v>0.19</v>
      </c>
      <c r="R49" s="701">
        <v>0.05</v>
      </c>
      <c r="S49" s="702">
        <v>0.09</v>
      </c>
      <c r="T49" s="651"/>
      <c r="U49" s="968">
        <f t="shared" si="2"/>
        <v>4.200000000000001</v>
      </c>
      <c r="V49" s="970">
        <f t="shared" si="3"/>
        <v>119.06790000000002</v>
      </c>
      <c r="W49" s="651"/>
      <c r="X49" s="703">
        <f t="shared" si="14"/>
        <v>0</v>
      </c>
      <c r="Y49" s="704">
        <f t="shared" si="15"/>
        <v>0</v>
      </c>
      <c r="Z49" s="704">
        <f t="shared" si="16"/>
        <v>0</v>
      </c>
      <c r="AA49" s="704">
        <f t="shared" si="17"/>
        <v>0</v>
      </c>
      <c r="AB49" s="704">
        <f t="shared" si="18"/>
        <v>0</v>
      </c>
      <c r="AC49" s="705">
        <f t="shared" si="19"/>
        <v>0</v>
      </c>
      <c r="AD49" s="705">
        <f t="shared" si="20"/>
        <v>0</v>
      </c>
      <c r="AE49" s="705">
        <f t="shared" si="21"/>
        <v>0</v>
      </c>
      <c r="AF49" s="705">
        <f t="shared" si="22"/>
        <v>0</v>
      </c>
      <c r="AG49" s="705">
        <f t="shared" si="23"/>
        <v>0</v>
      </c>
      <c r="AH49" s="706">
        <f t="shared" si="24"/>
        <v>0</v>
      </c>
      <c r="AI49" s="648"/>
      <c r="AJ49" s="705">
        <f t="shared" si="25"/>
        <v>0</v>
      </c>
      <c r="AK49" s="705">
        <f t="shared" si="26"/>
        <v>0</v>
      </c>
      <c r="AL49" s="722">
        <f t="shared" si="27"/>
        <v>0</v>
      </c>
      <c r="AM49" s="720">
        <v>10</v>
      </c>
      <c r="AN49" s="650">
        <v>7</v>
      </c>
      <c r="AO49" s="650">
        <v>20</v>
      </c>
      <c r="AQ49" s="723" t="s">
        <v>777</v>
      </c>
      <c r="AR49" s="724">
        <f t="shared" si="33"/>
        <v>10</v>
      </c>
      <c r="AS49" s="727">
        <f t="shared" si="30"/>
        <v>8.53</v>
      </c>
      <c r="AT49" s="727">
        <f t="shared" si="31"/>
        <v>8.93</v>
      </c>
      <c r="AU49" s="727">
        <f t="shared" si="32"/>
        <v>6.53</v>
      </c>
    </row>
    <row r="50" spans="1:47" ht="13.5">
      <c r="A50" s="651"/>
      <c r="B50" s="1284">
        <v>0.17</v>
      </c>
      <c r="C50" s="721" t="s">
        <v>779</v>
      </c>
      <c r="D50" s="708" t="s">
        <v>780</v>
      </c>
      <c r="E50" s="847"/>
      <c r="F50" s="847"/>
      <c r="G50" s="980">
        <f t="shared" si="28"/>
        <v>0</v>
      </c>
      <c r="H50" s="694">
        <f t="shared" si="29"/>
        <v>0</v>
      </c>
      <c r="I50" s="698">
        <v>17</v>
      </c>
      <c r="J50" s="698">
        <v>0.85</v>
      </c>
      <c r="K50" s="698">
        <v>0.02</v>
      </c>
      <c r="L50" s="729">
        <v>17.1</v>
      </c>
      <c r="M50" s="699">
        <v>0.1</v>
      </c>
      <c r="N50" s="700">
        <v>100</v>
      </c>
      <c r="O50" s="701">
        <v>100</v>
      </c>
      <c r="P50" s="701">
        <v>0.04</v>
      </c>
      <c r="Q50" s="701">
        <v>0.2</v>
      </c>
      <c r="R50" s="701">
        <v>0.01</v>
      </c>
      <c r="S50" s="702">
        <v>0.09</v>
      </c>
      <c r="T50" s="651"/>
      <c r="U50" s="968">
        <f t="shared" si="2"/>
        <v>4.300000000000001</v>
      </c>
      <c r="V50" s="970">
        <f t="shared" si="3"/>
        <v>121.90285000000002</v>
      </c>
      <c r="W50" s="651"/>
      <c r="X50" s="703">
        <f t="shared" si="14"/>
        <v>0</v>
      </c>
      <c r="Y50" s="704">
        <f t="shared" si="15"/>
        <v>0</v>
      </c>
      <c r="Z50" s="704">
        <f t="shared" si="16"/>
        <v>0</v>
      </c>
      <c r="AA50" s="704">
        <f t="shared" si="17"/>
        <v>0</v>
      </c>
      <c r="AB50" s="704">
        <f t="shared" si="18"/>
        <v>0</v>
      </c>
      <c r="AC50" s="705">
        <f t="shared" si="19"/>
        <v>0</v>
      </c>
      <c r="AD50" s="705">
        <f t="shared" si="20"/>
        <v>0</v>
      </c>
      <c r="AE50" s="705">
        <f t="shared" si="21"/>
        <v>0</v>
      </c>
      <c r="AF50" s="705">
        <f t="shared" si="22"/>
        <v>0</v>
      </c>
      <c r="AG50" s="705">
        <f t="shared" si="23"/>
        <v>0</v>
      </c>
      <c r="AH50" s="706">
        <f t="shared" si="24"/>
        <v>0</v>
      </c>
      <c r="AI50" s="648"/>
      <c r="AJ50" s="705">
        <f t="shared" si="25"/>
        <v>0</v>
      </c>
      <c r="AK50" s="705">
        <f t="shared" si="26"/>
        <v>0</v>
      </c>
      <c r="AL50" s="722">
        <f t="shared" si="27"/>
        <v>0</v>
      </c>
      <c r="AM50" s="720">
        <v>10</v>
      </c>
      <c r="AN50" s="650">
        <v>10</v>
      </c>
      <c r="AO50" s="650">
        <v>14</v>
      </c>
      <c r="AQ50" s="723" t="s">
        <v>777</v>
      </c>
      <c r="AR50" s="724">
        <f t="shared" si="33"/>
        <v>10.5</v>
      </c>
      <c r="AS50" s="727">
        <f t="shared" si="30"/>
        <v>8.9565</v>
      </c>
      <c r="AT50" s="727">
        <f t="shared" si="31"/>
        <v>9.3765</v>
      </c>
      <c r="AU50" s="727">
        <f t="shared" si="32"/>
        <v>6.8565000000000005</v>
      </c>
    </row>
    <row r="51" spans="1:47" ht="13.5">
      <c r="A51" s="651"/>
      <c r="B51" s="1284">
        <v>0.17</v>
      </c>
      <c r="C51" s="721"/>
      <c r="D51" s="708" t="s">
        <v>767</v>
      </c>
      <c r="E51" s="847"/>
      <c r="F51" s="847"/>
      <c r="G51" s="980">
        <f t="shared" si="28"/>
        <v>0</v>
      </c>
      <c r="H51" s="694">
        <f t="shared" si="29"/>
        <v>0</v>
      </c>
      <c r="I51" s="698">
        <v>17</v>
      </c>
      <c r="J51" s="698">
        <v>0.85</v>
      </c>
      <c r="K51" s="698">
        <v>0.2</v>
      </c>
      <c r="L51" s="729">
        <v>17.1</v>
      </c>
      <c r="M51" s="699">
        <v>0.1</v>
      </c>
      <c r="N51" s="700">
        <v>100</v>
      </c>
      <c r="O51" s="701">
        <v>100</v>
      </c>
      <c r="P51" s="701">
        <v>0.04</v>
      </c>
      <c r="Q51" s="701">
        <v>0.2</v>
      </c>
      <c r="R51" s="701">
        <v>0.01</v>
      </c>
      <c r="S51" s="702">
        <v>0.09</v>
      </c>
      <c r="T51" s="651"/>
      <c r="U51" s="968">
        <f t="shared" si="2"/>
        <v>4.4</v>
      </c>
      <c r="V51" s="970">
        <f t="shared" si="3"/>
        <v>124.73780000000001</v>
      </c>
      <c r="W51" s="651"/>
      <c r="X51" s="703">
        <f t="shared" si="14"/>
        <v>0</v>
      </c>
      <c r="Y51" s="704">
        <f t="shared" si="15"/>
        <v>0</v>
      </c>
      <c r="Z51" s="704">
        <f t="shared" si="16"/>
        <v>0</v>
      </c>
      <c r="AA51" s="704">
        <f t="shared" si="17"/>
        <v>0</v>
      </c>
      <c r="AB51" s="704">
        <f t="shared" si="18"/>
        <v>0</v>
      </c>
      <c r="AC51" s="705">
        <f t="shared" si="19"/>
        <v>0</v>
      </c>
      <c r="AD51" s="705">
        <f t="shared" si="20"/>
        <v>0</v>
      </c>
      <c r="AE51" s="705">
        <f t="shared" si="21"/>
        <v>0</v>
      </c>
      <c r="AF51" s="705">
        <f t="shared" si="22"/>
        <v>0</v>
      </c>
      <c r="AG51" s="705">
        <f t="shared" si="23"/>
        <v>0</v>
      </c>
      <c r="AH51" s="706">
        <f t="shared" si="24"/>
        <v>0</v>
      </c>
      <c r="AI51" s="648"/>
      <c r="AJ51" s="705">
        <f t="shared" si="25"/>
        <v>0</v>
      </c>
      <c r="AK51" s="705">
        <f t="shared" si="26"/>
        <v>0</v>
      </c>
      <c r="AL51" s="722">
        <f t="shared" si="27"/>
        <v>0</v>
      </c>
      <c r="AM51" s="720">
        <v>10</v>
      </c>
      <c r="AN51" s="650">
        <v>10</v>
      </c>
      <c r="AO51" s="650">
        <v>14</v>
      </c>
      <c r="AQ51" s="723" t="s">
        <v>777</v>
      </c>
      <c r="AR51" s="724">
        <f t="shared" si="33"/>
        <v>11</v>
      </c>
      <c r="AS51" s="727">
        <f t="shared" si="30"/>
        <v>9.383</v>
      </c>
      <c r="AT51" s="727">
        <f t="shared" si="31"/>
        <v>9.823</v>
      </c>
      <c r="AU51" s="727">
        <f t="shared" si="32"/>
        <v>7.183</v>
      </c>
    </row>
    <row r="52" spans="1:47" ht="13.5">
      <c r="A52" s="651"/>
      <c r="B52" s="1284">
        <v>0</v>
      </c>
      <c r="C52" s="721" t="s">
        <v>781</v>
      </c>
      <c r="D52" s="708" t="s">
        <v>1003</v>
      </c>
      <c r="E52" s="1567" t="s">
        <v>95</v>
      </c>
      <c r="F52" s="847"/>
      <c r="G52" s="1432">
        <f>F52*29.5735</f>
        <v>0</v>
      </c>
      <c r="H52" s="694">
        <f>B52*G52</f>
        <v>0</v>
      </c>
      <c r="I52" s="698">
        <v>81.25</v>
      </c>
      <c r="J52" s="698">
        <v>2.5</v>
      </c>
      <c r="K52" s="698">
        <v>0.075</v>
      </c>
      <c r="L52" s="697">
        <v>87.5</v>
      </c>
      <c r="M52" s="710">
        <v>0.5</v>
      </c>
      <c r="N52" s="738">
        <v>500</v>
      </c>
      <c r="O52" s="738">
        <v>500</v>
      </c>
      <c r="P52" s="700">
        <v>0.16</v>
      </c>
      <c r="Q52" s="700">
        <v>0.8</v>
      </c>
      <c r="R52" s="700">
        <v>0.08</v>
      </c>
      <c r="S52" s="730">
        <v>0.36</v>
      </c>
      <c r="T52" s="651"/>
      <c r="U52" s="968">
        <f t="shared" si="2"/>
        <v>4.5</v>
      </c>
      <c r="V52" s="970">
        <f t="shared" si="3"/>
        <v>127.57275</v>
      </c>
      <c r="W52" s="651"/>
      <c r="X52" s="703">
        <f>G52*I52/100</f>
        <v>0</v>
      </c>
      <c r="Y52" s="704">
        <f>G52*J52/100</f>
        <v>0</v>
      </c>
      <c r="Z52" s="704">
        <f>G52*K52/100</f>
        <v>0</v>
      </c>
      <c r="AA52" s="704">
        <f>G52*(L52-I52)/100</f>
        <v>0</v>
      </c>
      <c r="AB52" s="704">
        <f>G52*M52/1200</f>
        <v>0</v>
      </c>
      <c r="AC52" s="705">
        <f aca="true" t="shared" si="34" ref="AC52:AH52">$G52*N52/100</f>
        <v>0</v>
      </c>
      <c r="AD52" s="705">
        <f t="shared" si="34"/>
        <v>0</v>
      </c>
      <c r="AE52" s="705">
        <f t="shared" si="34"/>
        <v>0</v>
      </c>
      <c r="AF52" s="705">
        <f t="shared" si="34"/>
        <v>0</v>
      </c>
      <c r="AG52" s="705">
        <f t="shared" si="34"/>
        <v>0</v>
      </c>
      <c r="AH52" s="706">
        <f t="shared" si="34"/>
        <v>0</v>
      </c>
      <c r="AI52" s="648"/>
      <c r="AJ52" s="705">
        <f>$G52*AM52/100</f>
        <v>0</v>
      </c>
      <c r="AK52" s="705">
        <f>$G52*AN52/100</f>
        <v>0</v>
      </c>
      <c r="AL52" s="722">
        <f>$G52*AO52/100</f>
        <v>0</v>
      </c>
      <c r="AM52" s="720">
        <v>40</v>
      </c>
      <c r="AN52" s="650">
        <v>40</v>
      </c>
      <c r="AO52" s="650">
        <v>52</v>
      </c>
      <c r="AQ52" s="723" t="s">
        <v>777</v>
      </c>
      <c r="AR52" s="724"/>
      <c r="AS52" s="735"/>
      <c r="AT52" s="735"/>
      <c r="AU52" s="735"/>
    </row>
    <row r="53" spans="1:44" ht="13.5">
      <c r="A53" s="651"/>
      <c r="B53" s="1284">
        <v>0</v>
      </c>
      <c r="C53" s="712"/>
      <c r="D53" s="708" t="s">
        <v>1004</v>
      </c>
      <c r="E53" s="1567" t="s">
        <v>95</v>
      </c>
      <c r="F53" s="847"/>
      <c r="G53" s="1432">
        <f>F53*29.5735</f>
        <v>0</v>
      </c>
      <c r="H53" s="694">
        <f t="shared" si="29"/>
        <v>0</v>
      </c>
      <c r="I53" s="698">
        <v>81.25</v>
      </c>
      <c r="J53" s="698">
        <v>2.5</v>
      </c>
      <c r="K53" s="698">
        <v>0.75</v>
      </c>
      <c r="L53" s="697">
        <v>87.5</v>
      </c>
      <c r="M53" s="710">
        <v>0.625</v>
      </c>
      <c r="N53" s="738">
        <v>625</v>
      </c>
      <c r="O53" s="738">
        <v>625</v>
      </c>
      <c r="P53" s="700">
        <v>0.16</v>
      </c>
      <c r="Q53" s="700">
        <v>0.8</v>
      </c>
      <c r="R53" s="700">
        <v>0.08</v>
      </c>
      <c r="S53" s="730">
        <v>0.36</v>
      </c>
      <c r="T53" s="651"/>
      <c r="U53" s="968">
        <f t="shared" si="2"/>
        <v>4.6</v>
      </c>
      <c r="V53" s="970">
        <f t="shared" si="3"/>
        <v>130.40769999999998</v>
      </c>
      <c r="W53" s="651"/>
      <c r="X53" s="703">
        <f t="shared" si="14"/>
        <v>0</v>
      </c>
      <c r="Y53" s="704">
        <f t="shared" si="15"/>
        <v>0</v>
      </c>
      <c r="Z53" s="704">
        <f t="shared" si="16"/>
        <v>0</v>
      </c>
      <c r="AA53" s="704">
        <f t="shared" si="17"/>
        <v>0</v>
      </c>
      <c r="AB53" s="704">
        <f t="shared" si="18"/>
        <v>0</v>
      </c>
      <c r="AC53" s="705">
        <f t="shared" si="19"/>
        <v>0</v>
      </c>
      <c r="AD53" s="705">
        <f t="shared" si="20"/>
        <v>0</v>
      </c>
      <c r="AE53" s="705">
        <f t="shared" si="21"/>
        <v>0</v>
      </c>
      <c r="AF53" s="705">
        <f t="shared" si="22"/>
        <v>0</v>
      </c>
      <c r="AG53" s="705">
        <f t="shared" si="23"/>
        <v>0</v>
      </c>
      <c r="AH53" s="706">
        <f t="shared" si="24"/>
        <v>0</v>
      </c>
      <c r="AI53" s="648"/>
      <c r="AJ53" s="705">
        <f t="shared" si="25"/>
        <v>0</v>
      </c>
      <c r="AK53" s="705">
        <f t="shared" si="26"/>
        <v>0</v>
      </c>
      <c r="AL53" s="722">
        <f t="shared" si="27"/>
        <v>0</v>
      </c>
      <c r="AM53" s="720">
        <v>40</v>
      </c>
      <c r="AN53" s="650">
        <v>40</v>
      </c>
      <c r="AO53" s="650">
        <v>52</v>
      </c>
      <c r="AQ53" s="723" t="s">
        <v>777</v>
      </c>
      <c r="AR53" s="736"/>
    </row>
    <row r="54" spans="1:44" ht="13.5">
      <c r="A54" s="651"/>
      <c r="B54" s="1284">
        <v>0</v>
      </c>
      <c r="C54" s="737" t="s">
        <v>782</v>
      </c>
      <c r="D54" s="981" t="s">
        <v>1005</v>
      </c>
      <c r="E54" s="1567" t="s">
        <v>306</v>
      </c>
      <c r="F54" s="1442">
        <f>G54/29.5735</f>
        <v>0</v>
      </c>
      <c r="G54" s="1468"/>
      <c r="H54" s="694">
        <f t="shared" si="29"/>
        <v>0</v>
      </c>
      <c r="I54" s="698">
        <v>81.25</v>
      </c>
      <c r="J54" s="698">
        <v>2.5</v>
      </c>
      <c r="K54" s="698">
        <v>0.075</v>
      </c>
      <c r="L54" s="697">
        <v>87.5</v>
      </c>
      <c r="M54" s="710">
        <v>0.5</v>
      </c>
      <c r="N54" s="738">
        <v>500</v>
      </c>
      <c r="O54" s="738">
        <v>500</v>
      </c>
      <c r="P54" s="700">
        <v>0.16</v>
      </c>
      <c r="Q54" s="700">
        <v>0.8</v>
      </c>
      <c r="R54" s="700">
        <v>0.08</v>
      </c>
      <c r="S54" s="730">
        <v>0.36</v>
      </c>
      <c r="T54" s="651"/>
      <c r="U54" s="968">
        <f t="shared" si="2"/>
        <v>4.699999999999999</v>
      </c>
      <c r="V54" s="970">
        <f t="shared" si="3"/>
        <v>133.24264999999997</v>
      </c>
      <c r="W54" s="651"/>
      <c r="X54" s="703">
        <f t="shared" si="14"/>
        <v>0</v>
      </c>
      <c r="Y54" s="704">
        <f t="shared" si="15"/>
        <v>0</v>
      </c>
      <c r="Z54" s="704">
        <f t="shared" si="16"/>
        <v>0</v>
      </c>
      <c r="AA54" s="704">
        <f>G54*(L54-I54)/100</f>
        <v>0</v>
      </c>
      <c r="AB54" s="704">
        <f t="shared" si="18"/>
        <v>0</v>
      </c>
      <c r="AC54" s="705">
        <f t="shared" si="19"/>
        <v>0</v>
      </c>
      <c r="AD54" s="705">
        <f t="shared" si="20"/>
        <v>0</v>
      </c>
      <c r="AE54" s="705">
        <f t="shared" si="21"/>
        <v>0</v>
      </c>
      <c r="AF54" s="705">
        <f t="shared" si="22"/>
        <v>0</v>
      </c>
      <c r="AG54" s="705">
        <f t="shared" si="23"/>
        <v>0</v>
      </c>
      <c r="AH54" s="706">
        <f t="shared" si="24"/>
        <v>0</v>
      </c>
      <c r="AI54" s="648"/>
      <c r="AJ54" s="705">
        <f t="shared" si="25"/>
        <v>0</v>
      </c>
      <c r="AK54" s="705">
        <f t="shared" si="26"/>
        <v>0</v>
      </c>
      <c r="AL54" s="722">
        <f t="shared" si="27"/>
        <v>0</v>
      </c>
      <c r="AM54" s="739">
        <f aca="true" t="shared" si="35" ref="AM54:AO55">1.25*AM53</f>
        <v>50</v>
      </c>
      <c r="AN54" s="739">
        <f t="shared" si="35"/>
        <v>50</v>
      </c>
      <c r="AO54" s="739">
        <f t="shared" si="35"/>
        <v>65</v>
      </c>
      <c r="AQ54" s="723" t="s">
        <v>777</v>
      </c>
      <c r="AR54" s="736"/>
    </row>
    <row r="55" spans="1:44" ht="13.5">
      <c r="A55" s="651"/>
      <c r="B55" s="1284">
        <v>0</v>
      </c>
      <c r="C55" s="737" t="s">
        <v>782</v>
      </c>
      <c r="D55" s="981" t="s">
        <v>1006</v>
      </c>
      <c r="E55" s="1567" t="s">
        <v>306</v>
      </c>
      <c r="F55" s="1442">
        <f>G55/29.5735</f>
        <v>0</v>
      </c>
      <c r="G55" s="1468"/>
      <c r="H55" s="694">
        <f t="shared" si="29"/>
        <v>0</v>
      </c>
      <c r="I55" s="698">
        <v>81.25</v>
      </c>
      <c r="J55" s="698">
        <v>2.5</v>
      </c>
      <c r="K55" s="698">
        <v>0.75</v>
      </c>
      <c r="L55" s="697">
        <v>87.5</v>
      </c>
      <c r="M55" s="710">
        <v>0.625</v>
      </c>
      <c r="N55" s="738">
        <v>625</v>
      </c>
      <c r="O55" s="738">
        <v>625</v>
      </c>
      <c r="P55" s="700">
        <v>0.16</v>
      </c>
      <c r="Q55" s="700">
        <v>0.8</v>
      </c>
      <c r="R55" s="700">
        <v>0.08</v>
      </c>
      <c r="S55" s="730">
        <v>0.36</v>
      </c>
      <c r="T55" s="651"/>
      <c r="U55" s="968">
        <f t="shared" si="2"/>
        <v>4.799999999999999</v>
      </c>
      <c r="V55" s="970">
        <f t="shared" si="3"/>
        <v>136.07759999999996</v>
      </c>
      <c r="W55" s="651"/>
      <c r="X55" s="703">
        <f t="shared" si="14"/>
        <v>0</v>
      </c>
      <c r="Y55" s="704">
        <f t="shared" si="15"/>
        <v>0</v>
      </c>
      <c r="Z55" s="704">
        <f t="shared" si="16"/>
        <v>0</v>
      </c>
      <c r="AA55" s="704">
        <f t="shared" si="17"/>
        <v>0</v>
      </c>
      <c r="AB55" s="704">
        <f t="shared" si="18"/>
        <v>0</v>
      </c>
      <c r="AC55" s="705">
        <f t="shared" si="19"/>
        <v>0</v>
      </c>
      <c r="AD55" s="705">
        <f t="shared" si="20"/>
        <v>0</v>
      </c>
      <c r="AE55" s="705">
        <f t="shared" si="21"/>
        <v>0</v>
      </c>
      <c r="AF55" s="705">
        <f t="shared" si="22"/>
        <v>0</v>
      </c>
      <c r="AG55" s="705">
        <f t="shared" si="23"/>
        <v>0</v>
      </c>
      <c r="AH55" s="706">
        <f t="shared" si="24"/>
        <v>0</v>
      </c>
      <c r="AI55" s="648"/>
      <c r="AJ55" s="705">
        <f t="shared" si="25"/>
        <v>0</v>
      </c>
      <c r="AK55" s="705">
        <f t="shared" si="26"/>
        <v>0</v>
      </c>
      <c r="AL55" s="722">
        <f t="shared" si="27"/>
        <v>0</v>
      </c>
      <c r="AM55" s="739">
        <f t="shared" si="35"/>
        <v>62.5</v>
      </c>
      <c r="AN55" s="739">
        <f t="shared" si="35"/>
        <v>62.5</v>
      </c>
      <c r="AO55" s="739">
        <f t="shared" si="35"/>
        <v>81.25</v>
      </c>
      <c r="AQ55" s="723" t="s">
        <v>777</v>
      </c>
      <c r="AR55" s="736"/>
    </row>
    <row r="56" spans="1:44" ht="13.5">
      <c r="A56" s="651"/>
      <c r="B56" s="1284">
        <v>0.1</v>
      </c>
      <c r="C56" s="712" t="s">
        <v>783</v>
      </c>
      <c r="D56" s="708" t="s">
        <v>757</v>
      </c>
      <c r="E56" s="847"/>
      <c r="F56" s="847"/>
      <c r="G56" s="980">
        <f t="shared" si="28"/>
        <v>0</v>
      </c>
      <c r="H56" s="694">
        <f t="shared" si="29"/>
        <v>0</v>
      </c>
      <c r="I56" s="698">
        <v>6.8</v>
      </c>
      <c r="J56" s="698">
        <v>2</v>
      </c>
      <c r="K56" s="697">
        <v>0.1</v>
      </c>
      <c r="L56" s="711">
        <v>8</v>
      </c>
      <c r="M56" s="699">
        <v>1.6</v>
      </c>
      <c r="N56" s="701">
        <v>50</v>
      </c>
      <c r="O56" s="701">
        <v>135</v>
      </c>
      <c r="P56" s="701">
        <v>0.036</v>
      </c>
      <c r="Q56" s="701">
        <v>0.25</v>
      </c>
      <c r="R56" s="701">
        <v>0.283</v>
      </c>
      <c r="S56" s="702">
        <v>0.042</v>
      </c>
      <c r="T56" s="651"/>
      <c r="U56" s="968">
        <f t="shared" si="2"/>
        <v>4.899999999999999</v>
      </c>
      <c r="V56" s="970">
        <f t="shared" si="3"/>
        <v>138.91254999999995</v>
      </c>
      <c r="W56" s="651"/>
      <c r="X56" s="703">
        <f t="shared" si="14"/>
        <v>0</v>
      </c>
      <c r="Y56" s="704">
        <f t="shared" si="15"/>
        <v>0</v>
      </c>
      <c r="Z56" s="704">
        <f t="shared" si="16"/>
        <v>0</v>
      </c>
      <c r="AA56" s="704">
        <f t="shared" si="17"/>
        <v>0</v>
      </c>
      <c r="AB56" s="704">
        <f t="shared" si="18"/>
        <v>0</v>
      </c>
      <c r="AC56" s="705">
        <f t="shared" si="19"/>
        <v>0</v>
      </c>
      <c r="AD56" s="705">
        <f t="shared" si="20"/>
        <v>0</v>
      </c>
      <c r="AE56" s="705">
        <f t="shared" si="21"/>
        <v>0</v>
      </c>
      <c r="AF56" s="705">
        <f t="shared" si="22"/>
        <v>0</v>
      </c>
      <c r="AG56" s="705">
        <f t="shared" si="23"/>
        <v>0</v>
      </c>
      <c r="AH56" s="706">
        <f t="shared" si="24"/>
        <v>0</v>
      </c>
      <c r="AI56" s="648"/>
      <c r="AJ56" s="705">
        <f t="shared" si="25"/>
        <v>0</v>
      </c>
      <c r="AK56" s="705">
        <f t="shared" si="26"/>
        <v>0</v>
      </c>
      <c r="AL56" s="722">
        <f t="shared" si="27"/>
        <v>0</v>
      </c>
      <c r="AM56" s="720">
        <v>22</v>
      </c>
      <c r="AN56" s="650">
        <v>9</v>
      </c>
      <c r="AO56" s="650">
        <v>18</v>
      </c>
      <c r="AQ56" s="723" t="s">
        <v>107</v>
      </c>
      <c r="AR56" s="736"/>
    </row>
    <row r="57" spans="1:44" ht="13.5">
      <c r="A57" s="651"/>
      <c r="B57" s="1284">
        <v>0</v>
      </c>
      <c r="C57" s="721"/>
      <c r="D57" s="708" t="s">
        <v>772</v>
      </c>
      <c r="E57" s="847"/>
      <c r="F57" s="847"/>
      <c r="G57" s="980">
        <f t="shared" si="28"/>
        <v>0</v>
      </c>
      <c r="H57" s="694">
        <f t="shared" si="29"/>
        <v>0</v>
      </c>
      <c r="I57" s="698">
        <v>9</v>
      </c>
      <c r="J57" s="698">
        <v>1.8</v>
      </c>
      <c r="K57" s="697">
        <v>0.01</v>
      </c>
      <c r="L57" s="711">
        <v>9.2</v>
      </c>
      <c r="M57" s="710">
        <v>0.2</v>
      </c>
      <c r="N57" s="700">
        <v>50</v>
      </c>
      <c r="O57" s="701">
        <v>162</v>
      </c>
      <c r="P57" s="701">
        <v>0.04</v>
      </c>
      <c r="Q57" s="701">
        <v>0.2</v>
      </c>
      <c r="R57" s="701">
        <v>0.189</v>
      </c>
      <c r="S57" s="702">
        <v>0.044</v>
      </c>
      <c r="T57" s="651"/>
      <c r="U57" s="968">
        <f t="shared" si="2"/>
        <v>4.999999999999998</v>
      </c>
      <c r="V57" s="970">
        <f t="shared" si="3"/>
        <v>141.74749999999995</v>
      </c>
      <c r="W57" s="651"/>
      <c r="X57" s="703">
        <f t="shared" si="14"/>
        <v>0</v>
      </c>
      <c r="Y57" s="704">
        <f t="shared" si="15"/>
        <v>0</v>
      </c>
      <c r="Z57" s="704">
        <f t="shared" si="16"/>
        <v>0</v>
      </c>
      <c r="AA57" s="704">
        <f t="shared" si="17"/>
        <v>0</v>
      </c>
      <c r="AB57" s="704">
        <f t="shared" si="18"/>
        <v>0</v>
      </c>
      <c r="AC57" s="705">
        <f t="shared" si="19"/>
        <v>0</v>
      </c>
      <c r="AD57" s="705">
        <f t="shared" si="20"/>
        <v>0</v>
      </c>
      <c r="AE57" s="705">
        <f t="shared" si="21"/>
        <v>0</v>
      </c>
      <c r="AF57" s="705">
        <f t="shared" si="22"/>
        <v>0</v>
      </c>
      <c r="AG57" s="705">
        <f t="shared" si="23"/>
        <v>0</v>
      </c>
      <c r="AH57" s="706">
        <f t="shared" si="24"/>
        <v>0</v>
      </c>
      <c r="AI57" s="648"/>
      <c r="AJ57" s="705">
        <f t="shared" si="25"/>
        <v>0</v>
      </c>
      <c r="AK57" s="705">
        <f t="shared" si="26"/>
        <v>0</v>
      </c>
      <c r="AL57" s="722">
        <f t="shared" si="27"/>
        <v>0</v>
      </c>
      <c r="AM57" s="720">
        <v>9</v>
      </c>
      <c r="AN57" s="650">
        <v>12</v>
      </c>
      <c r="AO57" s="650">
        <v>15</v>
      </c>
      <c r="AQ57" s="723" t="s">
        <v>107</v>
      </c>
      <c r="AR57" s="736"/>
    </row>
    <row r="58" spans="1:44" ht="13.5">
      <c r="A58" s="651"/>
      <c r="B58" s="1284">
        <v>0.16</v>
      </c>
      <c r="C58" s="721" t="s">
        <v>784</v>
      </c>
      <c r="D58" s="708"/>
      <c r="E58" s="847"/>
      <c r="F58" s="847"/>
      <c r="G58" s="980">
        <f>453.6*(E58+F58/16)</f>
        <v>0</v>
      </c>
      <c r="H58" s="694">
        <f t="shared" si="29"/>
        <v>0</v>
      </c>
      <c r="I58" s="698">
        <v>11</v>
      </c>
      <c r="J58" s="698">
        <v>1.2</v>
      </c>
      <c r="K58" s="697">
        <v>0.1</v>
      </c>
      <c r="L58" s="729">
        <v>12</v>
      </c>
      <c r="M58" s="699">
        <v>0.9</v>
      </c>
      <c r="N58" s="701">
        <v>120</v>
      </c>
      <c r="O58" s="700">
        <v>155</v>
      </c>
      <c r="P58" s="700">
        <v>0.028</v>
      </c>
      <c r="Q58" s="700">
        <v>0.417</v>
      </c>
      <c r="R58" s="700">
        <v>0.135</v>
      </c>
      <c r="S58" s="730">
        <v>0.029</v>
      </c>
      <c r="T58" s="651"/>
      <c r="U58" s="968">
        <f aca="true" t="shared" si="36" ref="U58:U93">U57+0.1</f>
        <v>5.099999999999998</v>
      </c>
      <c r="V58" s="970">
        <f t="shared" si="3"/>
        <v>144.58244999999994</v>
      </c>
      <c r="W58" s="651"/>
      <c r="X58" s="703">
        <f aca="true" t="shared" si="37" ref="X58:X96">G58*I58/100</f>
        <v>0</v>
      </c>
      <c r="Y58" s="704">
        <f aca="true" t="shared" si="38" ref="Y58:Y96">G58*J58/100</f>
        <v>0</v>
      </c>
      <c r="Z58" s="704">
        <f aca="true" t="shared" si="39" ref="Z58:Z96">G58*K58/100</f>
        <v>0</v>
      </c>
      <c r="AA58" s="704">
        <f aca="true" t="shared" si="40" ref="AA58:AA96">G58*(L58-I58)/100</f>
        <v>0</v>
      </c>
      <c r="AB58" s="704">
        <f aca="true" t="shared" si="41" ref="AB58:AB96">G58*M58/1200</f>
        <v>0</v>
      </c>
      <c r="AC58" s="705">
        <f aca="true" t="shared" si="42" ref="AC58:AC96">$G58*N58/100</f>
        <v>0</v>
      </c>
      <c r="AD58" s="705">
        <f aca="true" t="shared" si="43" ref="AD58:AD96">$G58*O58/100</f>
        <v>0</v>
      </c>
      <c r="AE58" s="705">
        <f aca="true" t="shared" si="44" ref="AE58:AE96">$G58*P58/100</f>
        <v>0</v>
      </c>
      <c r="AF58" s="705">
        <f aca="true" t="shared" si="45" ref="AF58:AF96">$G58*Q58/100</f>
        <v>0</v>
      </c>
      <c r="AG58" s="705">
        <f aca="true" t="shared" si="46" ref="AG58:AG96">$G58*R58/100</f>
        <v>0</v>
      </c>
      <c r="AH58" s="706">
        <f aca="true" t="shared" si="47" ref="AH58:AH96">$G58*S58/100</f>
        <v>0</v>
      </c>
      <c r="AI58" s="648"/>
      <c r="AJ58" s="705">
        <f aca="true" t="shared" si="48" ref="AJ58:AJ96">$G58*AM58/100</f>
        <v>0</v>
      </c>
      <c r="AK58" s="705">
        <f aca="true" t="shared" si="49" ref="AK58:AK96">$G58*AN58/100</f>
        <v>0</v>
      </c>
      <c r="AL58" s="722">
        <f aca="true" t="shared" si="50" ref="AL58:AL96">$G58*AO58/100</f>
        <v>0</v>
      </c>
      <c r="AM58" s="733">
        <v>6</v>
      </c>
      <c r="AN58" s="733">
        <v>7</v>
      </c>
      <c r="AO58" s="733">
        <v>16</v>
      </c>
      <c r="AQ58" s="723" t="s">
        <v>748</v>
      </c>
      <c r="AR58" s="736"/>
    </row>
    <row r="59" spans="1:47" ht="13.5">
      <c r="A59" s="651"/>
      <c r="B59" s="1284">
        <v>0.14</v>
      </c>
      <c r="C59" s="721" t="s">
        <v>785</v>
      </c>
      <c r="D59" s="708"/>
      <c r="E59" s="847"/>
      <c r="F59" s="847"/>
      <c r="G59" s="980">
        <f t="shared" si="28"/>
        <v>0</v>
      </c>
      <c r="H59" s="694">
        <f t="shared" si="29"/>
        <v>0</v>
      </c>
      <c r="I59" s="698">
        <v>8.6</v>
      </c>
      <c r="J59" s="698">
        <v>0.4</v>
      </c>
      <c r="K59" s="697">
        <v>0.1</v>
      </c>
      <c r="L59" s="711">
        <v>14</v>
      </c>
      <c r="M59" s="710">
        <v>0.5</v>
      </c>
      <c r="N59" s="700">
        <v>50</v>
      </c>
      <c r="O59" s="701">
        <v>290</v>
      </c>
      <c r="P59" s="701">
        <v>0.067</v>
      </c>
      <c r="Q59" s="701">
        <v>1.04</v>
      </c>
      <c r="R59" s="701">
        <v>0.451</v>
      </c>
      <c r="S59" s="702">
        <v>0.11</v>
      </c>
      <c r="T59" s="651"/>
      <c r="U59" s="968">
        <f t="shared" si="36"/>
        <v>5.1999999999999975</v>
      </c>
      <c r="V59" s="970">
        <f t="shared" si="3"/>
        <v>147.41739999999993</v>
      </c>
      <c r="W59" s="651"/>
      <c r="X59" s="703">
        <f t="shared" si="37"/>
        <v>0</v>
      </c>
      <c r="Y59" s="704">
        <f t="shared" si="38"/>
        <v>0</v>
      </c>
      <c r="Z59" s="704">
        <f t="shared" si="39"/>
        <v>0</v>
      </c>
      <c r="AA59" s="704">
        <f t="shared" si="40"/>
        <v>0</v>
      </c>
      <c r="AB59" s="704">
        <f t="shared" si="41"/>
        <v>0</v>
      </c>
      <c r="AC59" s="705">
        <f t="shared" si="42"/>
        <v>0</v>
      </c>
      <c r="AD59" s="705">
        <f t="shared" si="43"/>
        <v>0</v>
      </c>
      <c r="AE59" s="705">
        <f t="shared" si="44"/>
        <v>0</v>
      </c>
      <c r="AF59" s="705">
        <f t="shared" si="45"/>
        <v>0</v>
      </c>
      <c r="AG59" s="705">
        <f t="shared" si="46"/>
        <v>0</v>
      </c>
      <c r="AH59" s="706">
        <f t="shared" si="47"/>
        <v>0</v>
      </c>
      <c r="AI59" s="648"/>
      <c r="AJ59" s="705">
        <f t="shared" si="48"/>
        <v>0</v>
      </c>
      <c r="AK59" s="705">
        <f t="shared" si="49"/>
        <v>0</v>
      </c>
      <c r="AL59" s="722">
        <f t="shared" si="50"/>
        <v>0</v>
      </c>
      <c r="AM59" s="720">
        <v>21</v>
      </c>
      <c r="AN59" s="650">
        <v>17</v>
      </c>
      <c r="AO59" s="650">
        <v>27</v>
      </c>
      <c r="AQ59" s="723"/>
      <c r="AR59" s="740"/>
      <c r="AS59" s="741"/>
      <c r="AT59" s="741"/>
      <c r="AU59" s="741"/>
    </row>
    <row r="60" spans="1:47" ht="13.5">
      <c r="A60" s="651"/>
      <c r="B60" s="1284">
        <v>0.15</v>
      </c>
      <c r="C60" s="721" t="s">
        <v>1007</v>
      </c>
      <c r="D60" s="708"/>
      <c r="E60" s="952"/>
      <c r="F60" s="952"/>
      <c r="G60" s="980">
        <f t="shared" si="28"/>
        <v>0</v>
      </c>
      <c r="H60" s="694">
        <f t="shared" si="29"/>
        <v>0</v>
      </c>
      <c r="I60" s="698">
        <v>80</v>
      </c>
      <c r="J60" s="698">
        <v>0.5</v>
      </c>
      <c r="K60" s="698">
        <v>0</v>
      </c>
      <c r="L60" s="729">
        <v>80</v>
      </c>
      <c r="M60" s="699">
        <v>0.01</v>
      </c>
      <c r="N60" s="700">
        <v>0</v>
      </c>
      <c r="O60" s="701">
        <v>52</v>
      </c>
      <c r="P60" s="701">
        <v>0</v>
      </c>
      <c r="Q60" s="701">
        <v>0.121</v>
      </c>
      <c r="R60" s="701">
        <v>0.068</v>
      </c>
      <c r="S60" s="702">
        <v>0.024</v>
      </c>
      <c r="T60" s="651"/>
      <c r="U60" s="968">
        <f t="shared" si="36"/>
        <v>5.299999999999997</v>
      </c>
      <c r="V60" s="970">
        <f t="shared" si="3"/>
        <v>150.25234999999992</v>
      </c>
      <c r="W60" s="651"/>
      <c r="X60" s="703">
        <f t="shared" si="37"/>
        <v>0</v>
      </c>
      <c r="Y60" s="704">
        <f t="shared" si="38"/>
        <v>0</v>
      </c>
      <c r="Z60" s="704">
        <f t="shared" si="39"/>
        <v>0</v>
      </c>
      <c r="AA60" s="704">
        <f t="shared" si="40"/>
        <v>0</v>
      </c>
      <c r="AB60" s="704">
        <f t="shared" si="41"/>
        <v>0</v>
      </c>
      <c r="AC60" s="705">
        <f t="shared" si="42"/>
        <v>0</v>
      </c>
      <c r="AD60" s="705">
        <f t="shared" si="43"/>
        <v>0</v>
      </c>
      <c r="AE60" s="705">
        <f t="shared" si="44"/>
        <v>0</v>
      </c>
      <c r="AF60" s="705">
        <f t="shared" si="45"/>
        <v>0</v>
      </c>
      <c r="AG60" s="705">
        <f t="shared" si="46"/>
        <v>0</v>
      </c>
      <c r="AH60" s="706">
        <f t="shared" si="47"/>
        <v>0</v>
      </c>
      <c r="AI60" s="648"/>
      <c r="AJ60" s="705">
        <f t="shared" si="48"/>
        <v>0</v>
      </c>
      <c r="AK60" s="705">
        <f t="shared" si="49"/>
        <v>0</v>
      </c>
      <c r="AL60" s="722">
        <f t="shared" si="50"/>
        <v>0</v>
      </c>
      <c r="AM60" s="720">
        <v>6</v>
      </c>
      <c r="AN60" s="650">
        <v>2</v>
      </c>
      <c r="AO60" s="650">
        <v>4</v>
      </c>
      <c r="AQ60" s="723"/>
      <c r="AR60" s="740"/>
      <c r="AS60" s="741"/>
      <c r="AT60" s="741"/>
      <c r="AU60" s="741"/>
    </row>
    <row r="61" spans="1:47" ht="13.5">
      <c r="A61" s="651"/>
      <c r="B61" s="1284">
        <v>0.16</v>
      </c>
      <c r="C61" s="721" t="s">
        <v>786</v>
      </c>
      <c r="D61" s="708"/>
      <c r="E61" s="847"/>
      <c r="F61" s="847"/>
      <c r="G61" s="980">
        <f t="shared" si="28"/>
        <v>0</v>
      </c>
      <c r="H61" s="694">
        <f aca="true" t="shared" si="51" ref="H61:H94">B61*G61</f>
        <v>0</v>
      </c>
      <c r="I61" s="696">
        <v>14</v>
      </c>
      <c r="J61" s="696">
        <v>3</v>
      </c>
      <c r="K61" s="697">
        <v>0.1</v>
      </c>
      <c r="L61" s="711">
        <v>15</v>
      </c>
      <c r="M61" s="710">
        <v>0.5</v>
      </c>
      <c r="N61" s="700">
        <v>50</v>
      </c>
      <c r="O61" s="701">
        <v>312</v>
      </c>
      <c r="P61" s="701">
        <v>0.027</v>
      </c>
      <c r="Q61" s="701">
        <v>0.341</v>
      </c>
      <c r="R61" s="701">
        <v>0.183</v>
      </c>
      <c r="S61" s="702">
        <v>0.063</v>
      </c>
      <c r="T61" s="651"/>
      <c r="U61" s="968">
        <f t="shared" si="36"/>
        <v>5.399999999999997</v>
      </c>
      <c r="V61" s="970">
        <f t="shared" si="3"/>
        <v>153.0872999999999</v>
      </c>
      <c r="W61" s="651"/>
      <c r="X61" s="703">
        <f t="shared" si="37"/>
        <v>0</v>
      </c>
      <c r="Y61" s="704">
        <f t="shared" si="38"/>
        <v>0</v>
      </c>
      <c r="Z61" s="704">
        <f t="shared" si="39"/>
        <v>0</v>
      </c>
      <c r="AA61" s="704">
        <f t="shared" si="40"/>
        <v>0</v>
      </c>
      <c r="AB61" s="704">
        <f t="shared" si="41"/>
        <v>0</v>
      </c>
      <c r="AC61" s="705">
        <f t="shared" si="42"/>
        <v>0</v>
      </c>
      <c r="AD61" s="705">
        <f t="shared" si="43"/>
        <v>0</v>
      </c>
      <c r="AE61" s="705">
        <f t="shared" si="44"/>
        <v>0</v>
      </c>
      <c r="AF61" s="705">
        <f t="shared" si="45"/>
        <v>0</v>
      </c>
      <c r="AG61" s="705">
        <f t="shared" si="46"/>
        <v>0</v>
      </c>
      <c r="AH61" s="706">
        <f t="shared" si="47"/>
        <v>0</v>
      </c>
      <c r="AI61" s="648"/>
      <c r="AJ61" s="705">
        <f t="shared" si="48"/>
        <v>0</v>
      </c>
      <c r="AK61" s="705">
        <f t="shared" si="49"/>
        <v>0</v>
      </c>
      <c r="AL61" s="722">
        <f t="shared" si="50"/>
        <v>0</v>
      </c>
      <c r="AM61" s="720">
        <v>34</v>
      </c>
      <c r="AN61" s="650">
        <v>17</v>
      </c>
      <c r="AO61" s="650">
        <v>34</v>
      </c>
      <c r="AQ61" s="723"/>
      <c r="AR61" s="740"/>
      <c r="AS61" s="741"/>
      <c r="AT61" s="741"/>
      <c r="AU61" s="741"/>
    </row>
    <row r="62" spans="1:47" ht="13.5">
      <c r="A62" s="651"/>
      <c r="B62" s="1284">
        <v>0</v>
      </c>
      <c r="C62" s="721" t="s">
        <v>787</v>
      </c>
      <c r="D62" s="708" t="s">
        <v>772</v>
      </c>
      <c r="E62" s="847"/>
      <c r="F62" s="847"/>
      <c r="G62" s="980">
        <f t="shared" si="28"/>
        <v>0</v>
      </c>
      <c r="H62" s="694">
        <f t="shared" si="51"/>
        <v>0</v>
      </c>
      <c r="I62" s="698">
        <v>1.5</v>
      </c>
      <c r="J62" s="698">
        <v>4.3</v>
      </c>
      <c r="K62" s="697">
        <v>0.01</v>
      </c>
      <c r="L62" s="711">
        <v>9</v>
      </c>
      <c r="M62" s="710">
        <v>0.2</v>
      </c>
      <c r="N62" s="701">
        <v>150</v>
      </c>
      <c r="O62" s="701">
        <v>124</v>
      </c>
      <c r="P62" s="701">
        <v>0.03</v>
      </c>
      <c r="Q62" s="701">
        <v>0.1</v>
      </c>
      <c r="R62" s="701">
        <v>0.103</v>
      </c>
      <c r="S62" s="702">
        <v>0</v>
      </c>
      <c r="T62" s="651"/>
      <c r="U62" s="968">
        <f t="shared" si="36"/>
        <v>5.4999999999999964</v>
      </c>
      <c r="V62" s="970">
        <f t="shared" si="3"/>
        <v>155.9222499999999</v>
      </c>
      <c r="W62" s="651"/>
      <c r="X62" s="703">
        <f t="shared" si="37"/>
        <v>0</v>
      </c>
      <c r="Y62" s="704">
        <f t="shared" si="38"/>
        <v>0</v>
      </c>
      <c r="Z62" s="704">
        <f t="shared" si="39"/>
        <v>0</v>
      </c>
      <c r="AA62" s="704">
        <f t="shared" si="40"/>
        <v>0</v>
      </c>
      <c r="AB62" s="704">
        <f t="shared" si="41"/>
        <v>0</v>
      </c>
      <c r="AC62" s="705">
        <f t="shared" si="42"/>
        <v>0</v>
      </c>
      <c r="AD62" s="705">
        <f t="shared" si="43"/>
        <v>0</v>
      </c>
      <c r="AE62" s="705">
        <f t="shared" si="44"/>
        <v>0</v>
      </c>
      <c r="AF62" s="705">
        <f t="shared" si="45"/>
        <v>0</v>
      </c>
      <c r="AG62" s="705">
        <f t="shared" si="46"/>
        <v>0</v>
      </c>
      <c r="AH62" s="706">
        <f t="shared" si="47"/>
        <v>0</v>
      </c>
      <c r="AI62" s="648"/>
      <c r="AJ62" s="705">
        <f t="shared" si="48"/>
        <v>0</v>
      </c>
      <c r="AK62" s="705">
        <f t="shared" si="49"/>
        <v>0</v>
      </c>
      <c r="AL62" s="722">
        <f t="shared" si="50"/>
        <v>0</v>
      </c>
      <c r="AM62" s="720">
        <v>7</v>
      </c>
      <c r="AN62" s="650">
        <v>6</v>
      </c>
      <c r="AO62" s="650">
        <v>6</v>
      </c>
      <c r="AQ62" s="723" t="s">
        <v>107</v>
      </c>
      <c r="AR62" s="740"/>
      <c r="AS62" s="741"/>
      <c r="AT62" s="741"/>
      <c r="AU62" s="741"/>
    </row>
    <row r="63" spans="1:47" ht="13.5">
      <c r="A63" s="651"/>
      <c r="B63" s="1284">
        <v>0.19</v>
      </c>
      <c r="C63" s="721" t="s">
        <v>788</v>
      </c>
      <c r="D63" s="708"/>
      <c r="E63" s="847"/>
      <c r="F63" s="847"/>
      <c r="G63" s="980">
        <f t="shared" si="28"/>
        <v>0</v>
      </c>
      <c r="H63" s="694">
        <f t="shared" si="51"/>
        <v>0</v>
      </c>
      <c r="I63" s="698">
        <v>15.2</v>
      </c>
      <c r="J63" s="698">
        <v>0.3</v>
      </c>
      <c r="K63" s="697">
        <v>0.1</v>
      </c>
      <c r="L63" s="711">
        <v>16.5</v>
      </c>
      <c r="M63" s="710">
        <v>0.5</v>
      </c>
      <c r="N63" s="700">
        <v>50</v>
      </c>
      <c r="O63" s="701">
        <v>171</v>
      </c>
      <c r="P63" s="701">
        <v>0.011</v>
      </c>
      <c r="Q63" s="701">
        <v>0.603</v>
      </c>
      <c r="R63" s="701">
        <v>0</v>
      </c>
      <c r="S63" s="702">
        <v>0.1</v>
      </c>
      <c r="T63" s="651"/>
      <c r="U63" s="968">
        <f t="shared" si="36"/>
        <v>5.599999999999996</v>
      </c>
      <c r="V63" s="970">
        <f t="shared" si="3"/>
        <v>158.7571999999999</v>
      </c>
      <c r="W63" s="651"/>
      <c r="X63" s="703">
        <f t="shared" si="37"/>
        <v>0</v>
      </c>
      <c r="Y63" s="704">
        <f t="shared" si="38"/>
        <v>0</v>
      </c>
      <c r="Z63" s="704">
        <f t="shared" si="39"/>
        <v>0</v>
      </c>
      <c r="AA63" s="704">
        <f t="shared" si="40"/>
        <v>0</v>
      </c>
      <c r="AB63" s="704">
        <f t="shared" si="41"/>
        <v>0</v>
      </c>
      <c r="AC63" s="705">
        <f t="shared" si="42"/>
        <v>0</v>
      </c>
      <c r="AD63" s="705">
        <f t="shared" si="43"/>
        <v>0</v>
      </c>
      <c r="AE63" s="705">
        <f t="shared" si="44"/>
        <v>0</v>
      </c>
      <c r="AF63" s="705">
        <f t="shared" si="45"/>
        <v>0</v>
      </c>
      <c r="AG63" s="705">
        <f t="shared" si="46"/>
        <v>0</v>
      </c>
      <c r="AH63" s="706">
        <f t="shared" si="47"/>
        <v>0</v>
      </c>
      <c r="AI63" s="648"/>
      <c r="AJ63" s="705">
        <f t="shared" si="48"/>
        <v>0</v>
      </c>
      <c r="AK63" s="705">
        <f t="shared" si="49"/>
        <v>0</v>
      </c>
      <c r="AL63" s="722">
        <f t="shared" si="50"/>
        <v>0</v>
      </c>
      <c r="AM63" s="720">
        <v>5</v>
      </c>
      <c r="AN63" s="650">
        <v>10</v>
      </c>
      <c r="AO63" s="650">
        <v>31</v>
      </c>
      <c r="AQ63" s="723"/>
      <c r="AR63" s="740"/>
      <c r="AS63" s="741"/>
      <c r="AT63" s="741"/>
      <c r="AU63" s="741"/>
    </row>
    <row r="64" spans="1:47" ht="13.5">
      <c r="A64" s="651"/>
      <c r="B64" s="1284">
        <v>0.15</v>
      </c>
      <c r="C64" s="721" t="s">
        <v>789</v>
      </c>
      <c r="D64" s="708"/>
      <c r="E64" s="847"/>
      <c r="F64" s="847"/>
      <c r="G64" s="980">
        <f t="shared" si="28"/>
        <v>0</v>
      </c>
      <c r="H64" s="694">
        <f t="shared" si="51"/>
        <v>0</v>
      </c>
      <c r="I64" s="698">
        <v>5</v>
      </c>
      <c r="J64" s="698">
        <v>2</v>
      </c>
      <c r="K64" s="698">
        <v>0.2</v>
      </c>
      <c r="L64" s="711">
        <v>15</v>
      </c>
      <c r="M64" s="699">
        <v>0.6</v>
      </c>
      <c r="N64" s="701">
        <v>180</v>
      </c>
      <c r="O64" s="701">
        <v>266</v>
      </c>
      <c r="P64" s="701">
        <v>0.03</v>
      </c>
      <c r="Q64" s="701">
        <v>0.3</v>
      </c>
      <c r="R64" s="700">
        <v>0</v>
      </c>
      <c r="S64" s="702">
        <v>0</v>
      </c>
      <c r="T64" s="651"/>
      <c r="U64" s="968">
        <f t="shared" si="36"/>
        <v>5.699999999999996</v>
      </c>
      <c r="V64" s="970">
        <f t="shared" si="3"/>
        <v>161.59214999999986</v>
      </c>
      <c r="W64" s="651"/>
      <c r="X64" s="703">
        <f t="shared" si="37"/>
        <v>0</v>
      </c>
      <c r="Y64" s="704">
        <f t="shared" si="38"/>
        <v>0</v>
      </c>
      <c r="Z64" s="704">
        <f t="shared" si="39"/>
        <v>0</v>
      </c>
      <c r="AA64" s="704">
        <f t="shared" si="40"/>
        <v>0</v>
      </c>
      <c r="AB64" s="704">
        <f t="shared" si="41"/>
        <v>0</v>
      </c>
      <c r="AC64" s="705">
        <f t="shared" si="42"/>
        <v>0</v>
      </c>
      <c r="AD64" s="705">
        <f t="shared" si="43"/>
        <v>0</v>
      </c>
      <c r="AE64" s="705">
        <f t="shared" si="44"/>
        <v>0</v>
      </c>
      <c r="AF64" s="705">
        <f t="shared" si="45"/>
        <v>0</v>
      </c>
      <c r="AG64" s="705">
        <f t="shared" si="46"/>
        <v>0</v>
      </c>
      <c r="AH64" s="706">
        <f t="shared" si="47"/>
        <v>0</v>
      </c>
      <c r="AI64" s="648"/>
      <c r="AJ64" s="705">
        <f t="shared" si="48"/>
        <v>0</v>
      </c>
      <c r="AK64" s="705">
        <f t="shared" si="49"/>
        <v>0</v>
      </c>
      <c r="AL64" s="722">
        <f t="shared" si="50"/>
        <v>0</v>
      </c>
      <c r="AM64" s="720">
        <v>1</v>
      </c>
      <c r="AN64" s="650">
        <v>10</v>
      </c>
      <c r="AO64" s="650">
        <v>21</v>
      </c>
      <c r="AQ64" s="723" t="s">
        <v>107</v>
      </c>
      <c r="AR64" s="740"/>
      <c r="AS64" s="741"/>
      <c r="AT64" s="741"/>
      <c r="AU64" s="741"/>
    </row>
    <row r="65" spans="1:47" ht="13.5">
      <c r="A65" s="651"/>
      <c r="B65" s="1284">
        <v>0.19</v>
      </c>
      <c r="C65" s="721" t="s">
        <v>790</v>
      </c>
      <c r="D65" s="708"/>
      <c r="E65" s="847"/>
      <c r="F65" s="847"/>
      <c r="G65" s="980">
        <f t="shared" si="28"/>
        <v>0</v>
      </c>
      <c r="H65" s="694">
        <f t="shared" si="51"/>
        <v>0</v>
      </c>
      <c r="I65" s="698">
        <v>11</v>
      </c>
      <c r="J65" s="698">
        <v>0.5</v>
      </c>
      <c r="K65" s="697">
        <v>0.1</v>
      </c>
      <c r="L65" s="711">
        <v>17</v>
      </c>
      <c r="M65" s="710">
        <v>0.5</v>
      </c>
      <c r="N65" s="700">
        <v>50</v>
      </c>
      <c r="O65" s="701">
        <v>155</v>
      </c>
      <c r="P65" s="701">
        <v>0.058</v>
      </c>
      <c r="Q65" s="701">
        <v>0.584</v>
      </c>
      <c r="R65" s="701">
        <v>0.16</v>
      </c>
      <c r="S65" s="702">
        <v>0.134</v>
      </c>
      <c r="T65" s="651"/>
      <c r="U65" s="968">
        <f t="shared" si="36"/>
        <v>5.799999999999995</v>
      </c>
      <c r="V65" s="970">
        <f t="shared" si="3"/>
        <v>164.42709999999985</v>
      </c>
      <c r="W65" s="651"/>
      <c r="X65" s="703">
        <f t="shared" si="37"/>
        <v>0</v>
      </c>
      <c r="Y65" s="704">
        <f t="shared" si="38"/>
        <v>0</v>
      </c>
      <c r="Z65" s="704">
        <f t="shared" si="39"/>
        <v>0</v>
      </c>
      <c r="AA65" s="704">
        <f t="shared" si="40"/>
        <v>0</v>
      </c>
      <c r="AB65" s="704">
        <f t="shared" si="41"/>
        <v>0</v>
      </c>
      <c r="AC65" s="705">
        <f t="shared" si="42"/>
        <v>0</v>
      </c>
      <c r="AD65" s="705">
        <f t="shared" si="43"/>
        <v>0</v>
      </c>
      <c r="AE65" s="705">
        <f t="shared" si="44"/>
        <v>0</v>
      </c>
      <c r="AF65" s="705">
        <f t="shared" si="45"/>
        <v>0</v>
      </c>
      <c r="AG65" s="705">
        <f t="shared" si="46"/>
        <v>0</v>
      </c>
      <c r="AH65" s="706">
        <f t="shared" si="47"/>
        <v>0</v>
      </c>
      <c r="AI65" s="648"/>
      <c r="AJ65" s="705">
        <f t="shared" si="48"/>
        <v>0</v>
      </c>
      <c r="AK65" s="705">
        <f t="shared" si="49"/>
        <v>0</v>
      </c>
      <c r="AL65" s="722">
        <f t="shared" si="50"/>
        <v>0</v>
      </c>
      <c r="AM65" s="720">
        <v>10</v>
      </c>
      <c r="AN65" s="650">
        <v>9</v>
      </c>
      <c r="AO65" s="650">
        <v>11</v>
      </c>
      <c r="AQ65" s="723"/>
      <c r="AR65" s="742"/>
      <c r="AS65" s="741"/>
      <c r="AT65" s="741"/>
      <c r="AU65" s="741"/>
    </row>
    <row r="66" spans="1:47" ht="13.5">
      <c r="A66" s="651"/>
      <c r="B66" s="1284">
        <v>0.25</v>
      </c>
      <c r="C66" s="721" t="s">
        <v>791</v>
      </c>
      <c r="D66" s="708"/>
      <c r="E66" s="847"/>
      <c r="F66" s="847"/>
      <c r="G66" s="980">
        <f t="shared" si="28"/>
        <v>0</v>
      </c>
      <c r="H66" s="694">
        <f t="shared" si="51"/>
        <v>0</v>
      </c>
      <c r="I66" s="698">
        <v>10</v>
      </c>
      <c r="J66" s="697">
        <v>1</v>
      </c>
      <c r="K66" s="697">
        <v>0.1</v>
      </c>
      <c r="L66" s="729">
        <v>11</v>
      </c>
      <c r="M66" s="710">
        <v>0.5</v>
      </c>
      <c r="N66" s="700">
        <v>50</v>
      </c>
      <c r="O66" s="700">
        <v>50</v>
      </c>
      <c r="P66" s="700">
        <v>0.03</v>
      </c>
      <c r="Q66" s="700">
        <v>0.3</v>
      </c>
      <c r="R66" s="700">
        <v>0.1</v>
      </c>
      <c r="S66" s="730">
        <v>0.08</v>
      </c>
      <c r="T66" s="651"/>
      <c r="U66" s="968">
        <f t="shared" si="36"/>
        <v>5.899999999999995</v>
      </c>
      <c r="V66" s="970">
        <f t="shared" si="3"/>
        <v>167.26204999999985</v>
      </c>
      <c r="W66" s="651"/>
      <c r="X66" s="703">
        <f t="shared" si="37"/>
        <v>0</v>
      </c>
      <c r="Y66" s="704">
        <f t="shared" si="38"/>
        <v>0</v>
      </c>
      <c r="Z66" s="704">
        <f t="shared" si="39"/>
        <v>0</v>
      </c>
      <c r="AA66" s="704">
        <f t="shared" si="40"/>
        <v>0</v>
      </c>
      <c r="AB66" s="704">
        <f t="shared" si="41"/>
        <v>0</v>
      </c>
      <c r="AC66" s="705">
        <f t="shared" si="42"/>
        <v>0</v>
      </c>
      <c r="AD66" s="705">
        <f t="shared" si="43"/>
        <v>0</v>
      </c>
      <c r="AE66" s="705">
        <f t="shared" si="44"/>
        <v>0</v>
      </c>
      <c r="AF66" s="705">
        <f t="shared" si="45"/>
        <v>0</v>
      </c>
      <c r="AG66" s="705">
        <f t="shared" si="46"/>
        <v>0</v>
      </c>
      <c r="AH66" s="706">
        <f t="shared" si="47"/>
        <v>0</v>
      </c>
      <c r="AI66" s="648"/>
      <c r="AJ66" s="705">
        <f t="shared" si="48"/>
        <v>0</v>
      </c>
      <c r="AK66" s="705">
        <f t="shared" si="49"/>
        <v>0</v>
      </c>
      <c r="AL66" s="722">
        <f t="shared" si="50"/>
        <v>0</v>
      </c>
      <c r="AM66" s="733">
        <v>5</v>
      </c>
      <c r="AN66" s="733">
        <v>10</v>
      </c>
      <c r="AO66" s="733">
        <v>11</v>
      </c>
      <c r="AQ66" s="723"/>
      <c r="AR66" s="740"/>
      <c r="AS66" s="741"/>
      <c r="AT66" s="741"/>
      <c r="AU66" s="741"/>
    </row>
    <row r="67" spans="1:47" ht="13.5">
      <c r="A67" s="651"/>
      <c r="B67" s="1284">
        <v>0.06</v>
      </c>
      <c r="C67" s="721" t="s">
        <v>792</v>
      </c>
      <c r="D67" s="708"/>
      <c r="E67" s="847"/>
      <c r="F67" s="847"/>
      <c r="G67" s="980">
        <f t="shared" si="28"/>
        <v>0</v>
      </c>
      <c r="H67" s="694">
        <f t="shared" si="51"/>
        <v>0</v>
      </c>
      <c r="I67" s="698">
        <v>6</v>
      </c>
      <c r="J67" s="698">
        <v>0.2</v>
      </c>
      <c r="K67" s="697">
        <v>0.1</v>
      </c>
      <c r="L67" s="711">
        <v>9</v>
      </c>
      <c r="M67" s="710">
        <v>0.5</v>
      </c>
      <c r="N67" s="701">
        <v>150</v>
      </c>
      <c r="O67" s="701">
        <v>230</v>
      </c>
      <c r="P67" s="701">
        <v>0.038</v>
      </c>
      <c r="Q67" s="701">
        <v>0.418</v>
      </c>
      <c r="R67" s="701">
        <v>0.155</v>
      </c>
      <c r="S67" s="702">
        <v>0.088</v>
      </c>
      <c r="T67" s="651"/>
      <c r="U67" s="968">
        <f t="shared" si="36"/>
        <v>5.999999999999995</v>
      </c>
      <c r="V67" s="970">
        <f t="shared" si="3"/>
        <v>170.09699999999984</v>
      </c>
      <c r="W67" s="651"/>
      <c r="X67" s="703">
        <f t="shared" si="37"/>
        <v>0</v>
      </c>
      <c r="Y67" s="704">
        <f t="shared" si="38"/>
        <v>0</v>
      </c>
      <c r="Z67" s="704">
        <f t="shared" si="39"/>
        <v>0</v>
      </c>
      <c r="AA67" s="704">
        <f t="shared" si="40"/>
        <v>0</v>
      </c>
      <c r="AB67" s="704">
        <f t="shared" si="41"/>
        <v>0</v>
      </c>
      <c r="AC67" s="705">
        <f t="shared" si="42"/>
        <v>0</v>
      </c>
      <c r="AD67" s="705">
        <f t="shared" si="43"/>
        <v>0</v>
      </c>
      <c r="AE67" s="705">
        <f t="shared" si="44"/>
        <v>0</v>
      </c>
      <c r="AF67" s="705">
        <f t="shared" si="45"/>
        <v>0</v>
      </c>
      <c r="AG67" s="705">
        <f t="shared" si="46"/>
        <v>0</v>
      </c>
      <c r="AH67" s="706">
        <f t="shared" si="47"/>
        <v>0</v>
      </c>
      <c r="AI67" s="648"/>
      <c r="AJ67" s="705">
        <f t="shared" si="48"/>
        <v>0</v>
      </c>
      <c r="AK67" s="705">
        <f t="shared" si="49"/>
        <v>0</v>
      </c>
      <c r="AL67" s="722">
        <f t="shared" si="50"/>
        <v>0</v>
      </c>
      <c r="AM67" s="720">
        <v>6</v>
      </c>
      <c r="AN67" s="650">
        <v>10</v>
      </c>
      <c r="AO67" s="650">
        <v>11</v>
      </c>
      <c r="AQ67" s="723"/>
      <c r="AR67" s="743"/>
      <c r="AS67" s="744"/>
      <c r="AT67" s="744"/>
      <c r="AU67" s="744"/>
    </row>
    <row r="68" spans="1:47" ht="13.5">
      <c r="A68" s="651"/>
      <c r="B68" s="1284">
        <v>0.15</v>
      </c>
      <c r="C68" s="721" t="s">
        <v>793</v>
      </c>
      <c r="D68" s="708"/>
      <c r="E68" s="847"/>
      <c r="F68" s="847"/>
      <c r="G68" s="980">
        <f t="shared" si="28"/>
        <v>0</v>
      </c>
      <c r="H68" s="694">
        <f t="shared" si="51"/>
        <v>0</v>
      </c>
      <c r="I68" s="698">
        <v>8</v>
      </c>
      <c r="J68" s="698">
        <v>0.45</v>
      </c>
      <c r="K68" s="697">
        <v>0.1</v>
      </c>
      <c r="L68" s="711">
        <v>10</v>
      </c>
      <c r="M68" s="699">
        <v>0.7</v>
      </c>
      <c r="N68" s="701">
        <v>210</v>
      </c>
      <c r="O68" s="701">
        <v>194</v>
      </c>
      <c r="P68" s="701">
        <v>0.03</v>
      </c>
      <c r="Q68" s="701">
        <v>0.62</v>
      </c>
      <c r="R68" s="700">
        <v>0</v>
      </c>
      <c r="S68" s="730">
        <v>0.05</v>
      </c>
      <c r="T68" s="651"/>
      <c r="U68" s="968">
        <f t="shared" si="36"/>
        <v>6.099999999999994</v>
      </c>
      <c r="V68" s="970">
        <f t="shared" si="3"/>
        <v>172.93194999999983</v>
      </c>
      <c r="W68" s="651"/>
      <c r="X68" s="703">
        <f t="shared" si="37"/>
        <v>0</v>
      </c>
      <c r="Y68" s="704">
        <f t="shared" si="38"/>
        <v>0</v>
      </c>
      <c r="Z68" s="704">
        <f t="shared" si="39"/>
        <v>0</v>
      </c>
      <c r="AA68" s="704">
        <f t="shared" si="40"/>
        <v>0</v>
      </c>
      <c r="AB68" s="704">
        <f t="shared" si="41"/>
        <v>0</v>
      </c>
      <c r="AC68" s="705">
        <f t="shared" si="42"/>
        <v>0</v>
      </c>
      <c r="AD68" s="705">
        <f t="shared" si="43"/>
        <v>0</v>
      </c>
      <c r="AE68" s="705">
        <f t="shared" si="44"/>
        <v>0</v>
      </c>
      <c r="AF68" s="705">
        <f t="shared" si="45"/>
        <v>0</v>
      </c>
      <c r="AG68" s="705">
        <f t="shared" si="46"/>
        <v>0</v>
      </c>
      <c r="AH68" s="706">
        <f t="shared" si="47"/>
        <v>0</v>
      </c>
      <c r="AI68" s="648"/>
      <c r="AJ68" s="705">
        <f t="shared" si="48"/>
        <v>0</v>
      </c>
      <c r="AK68" s="705">
        <f t="shared" si="49"/>
        <v>0</v>
      </c>
      <c r="AL68" s="722">
        <f t="shared" si="50"/>
        <v>0</v>
      </c>
      <c r="AM68" s="720">
        <v>39</v>
      </c>
      <c r="AN68" s="650">
        <v>18</v>
      </c>
      <c r="AO68" s="650">
        <v>38</v>
      </c>
      <c r="AQ68" s="723" t="s">
        <v>777</v>
      </c>
      <c r="AR68" s="743"/>
      <c r="AS68" s="744"/>
      <c r="AT68" s="744"/>
      <c r="AU68" s="744"/>
    </row>
    <row r="69" spans="1:47" ht="13.5">
      <c r="A69" s="651"/>
      <c r="B69" s="1284">
        <v>0.13</v>
      </c>
      <c r="C69" s="721" t="s">
        <v>794</v>
      </c>
      <c r="D69" s="708"/>
      <c r="E69" s="847"/>
      <c r="F69" s="847"/>
      <c r="G69" s="980">
        <f t="shared" si="28"/>
        <v>0</v>
      </c>
      <c r="H69" s="694">
        <f t="shared" si="51"/>
        <v>0</v>
      </c>
      <c r="I69" s="698">
        <v>8</v>
      </c>
      <c r="J69" s="698">
        <v>0.7</v>
      </c>
      <c r="K69" s="697">
        <v>0.1</v>
      </c>
      <c r="L69" s="711">
        <v>11</v>
      </c>
      <c r="M69" s="710">
        <v>0.3</v>
      </c>
      <c r="N69" s="701">
        <v>150</v>
      </c>
      <c r="O69" s="701">
        <v>200</v>
      </c>
      <c r="P69" s="701">
        <v>0.034</v>
      </c>
      <c r="Q69" s="701">
        <v>1.125</v>
      </c>
      <c r="R69" s="701">
        <v>0.185</v>
      </c>
      <c r="S69" s="702">
        <v>0.025</v>
      </c>
      <c r="T69" s="651"/>
      <c r="U69" s="968">
        <f t="shared" si="36"/>
        <v>6.199999999999994</v>
      </c>
      <c r="V69" s="970">
        <f t="shared" si="3"/>
        <v>175.76689999999982</v>
      </c>
      <c r="W69" s="651"/>
      <c r="X69" s="703">
        <f t="shared" si="37"/>
        <v>0</v>
      </c>
      <c r="Y69" s="704">
        <f t="shared" si="38"/>
        <v>0</v>
      </c>
      <c r="Z69" s="704">
        <f t="shared" si="39"/>
        <v>0</v>
      </c>
      <c r="AA69" s="704">
        <f t="shared" si="40"/>
        <v>0</v>
      </c>
      <c r="AB69" s="704">
        <f t="shared" si="41"/>
        <v>0</v>
      </c>
      <c r="AC69" s="705">
        <f t="shared" si="42"/>
        <v>0</v>
      </c>
      <c r="AD69" s="705">
        <f t="shared" si="43"/>
        <v>0</v>
      </c>
      <c r="AE69" s="705">
        <f t="shared" si="44"/>
        <v>0</v>
      </c>
      <c r="AF69" s="705">
        <f t="shared" si="45"/>
        <v>0</v>
      </c>
      <c r="AG69" s="705">
        <f t="shared" si="46"/>
        <v>0</v>
      </c>
      <c r="AH69" s="706">
        <f t="shared" si="47"/>
        <v>0</v>
      </c>
      <c r="AI69" s="648"/>
      <c r="AJ69" s="705">
        <f t="shared" si="48"/>
        <v>0</v>
      </c>
      <c r="AK69" s="705">
        <f t="shared" si="49"/>
        <v>0</v>
      </c>
      <c r="AL69" s="722">
        <f t="shared" si="50"/>
        <v>0</v>
      </c>
      <c r="AM69" s="720">
        <v>6</v>
      </c>
      <c r="AN69" s="650">
        <v>9</v>
      </c>
      <c r="AO69" s="650">
        <v>26</v>
      </c>
      <c r="AQ69" s="723" t="s">
        <v>748</v>
      </c>
      <c r="AR69" s="743"/>
      <c r="AS69" s="744"/>
      <c r="AT69" s="744"/>
      <c r="AU69" s="744"/>
    </row>
    <row r="70" spans="1:47" ht="13.5">
      <c r="A70" s="651"/>
      <c r="B70" s="1284">
        <v>0.13</v>
      </c>
      <c r="C70" s="721" t="s">
        <v>795</v>
      </c>
      <c r="D70" s="708" t="s">
        <v>757</v>
      </c>
      <c r="E70" s="847"/>
      <c r="F70" s="847"/>
      <c r="G70" s="980">
        <f t="shared" si="28"/>
        <v>0</v>
      </c>
      <c r="H70" s="694">
        <f t="shared" si="51"/>
        <v>0</v>
      </c>
      <c r="I70" s="698">
        <v>9.5</v>
      </c>
      <c r="J70" s="698">
        <v>0.95</v>
      </c>
      <c r="K70" s="697">
        <v>0.1</v>
      </c>
      <c r="L70" s="711">
        <v>11.5</v>
      </c>
      <c r="M70" s="699">
        <v>0.9</v>
      </c>
      <c r="N70" s="700">
        <v>140</v>
      </c>
      <c r="O70" s="701">
        <v>190</v>
      </c>
      <c r="P70" s="701">
        <v>0.087</v>
      </c>
      <c r="Q70" s="701">
        <v>0.04</v>
      </c>
      <c r="R70" s="701">
        <v>0.25</v>
      </c>
      <c r="S70" s="702">
        <v>0.06</v>
      </c>
      <c r="T70" s="651"/>
      <c r="U70" s="968">
        <f t="shared" si="36"/>
        <v>6.299999999999994</v>
      </c>
      <c r="V70" s="970">
        <f t="shared" si="3"/>
        <v>178.6018499999998</v>
      </c>
      <c r="W70" s="651"/>
      <c r="X70" s="703">
        <f t="shared" si="37"/>
        <v>0</v>
      </c>
      <c r="Y70" s="704">
        <f t="shared" si="38"/>
        <v>0</v>
      </c>
      <c r="Z70" s="704">
        <f t="shared" si="39"/>
        <v>0</v>
      </c>
      <c r="AA70" s="704">
        <f t="shared" si="40"/>
        <v>0</v>
      </c>
      <c r="AB70" s="704">
        <f t="shared" si="41"/>
        <v>0</v>
      </c>
      <c r="AC70" s="705">
        <f t="shared" si="42"/>
        <v>0</v>
      </c>
      <c r="AD70" s="705">
        <f t="shared" si="43"/>
        <v>0</v>
      </c>
      <c r="AE70" s="705">
        <f t="shared" si="44"/>
        <v>0</v>
      </c>
      <c r="AF70" s="705">
        <f t="shared" si="45"/>
        <v>0</v>
      </c>
      <c r="AG70" s="705">
        <f t="shared" si="46"/>
        <v>0</v>
      </c>
      <c r="AH70" s="706">
        <f t="shared" si="47"/>
        <v>0</v>
      </c>
      <c r="AI70" s="648"/>
      <c r="AJ70" s="705">
        <f t="shared" si="48"/>
        <v>0</v>
      </c>
      <c r="AK70" s="705">
        <f t="shared" si="49"/>
        <v>0</v>
      </c>
      <c r="AL70" s="722">
        <f t="shared" si="50"/>
        <v>0</v>
      </c>
      <c r="AM70" s="720">
        <v>70</v>
      </c>
      <c r="AN70" s="650">
        <v>14</v>
      </c>
      <c r="AO70" s="650">
        <v>22</v>
      </c>
      <c r="AQ70" s="723" t="s">
        <v>107</v>
      </c>
      <c r="AR70" s="743"/>
      <c r="AS70" s="744"/>
      <c r="AT70" s="744"/>
      <c r="AU70" s="744"/>
    </row>
    <row r="71" spans="1:47" ht="13.5">
      <c r="A71" s="651"/>
      <c r="B71" s="1284">
        <v>0</v>
      </c>
      <c r="C71" s="721"/>
      <c r="D71" s="708" t="s">
        <v>772</v>
      </c>
      <c r="E71" s="847"/>
      <c r="F71" s="847"/>
      <c r="G71" s="980">
        <f t="shared" si="28"/>
        <v>0</v>
      </c>
      <c r="H71" s="694">
        <f t="shared" si="51"/>
        <v>0</v>
      </c>
      <c r="I71" s="698">
        <v>9.9</v>
      </c>
      <c r="J71" s="698">
        <v>1.05</v>
      </c>
      <c r="K71" s="697">
        <v>0.01</v>
      </c>
      <c r="L71" s="711">
        <v>10.4</v>
      </c>
      <c r="M71" s="699">
        <v>0.2</v>
      </c>
      <c r="N71" s="701">
        <v>100</v>
      </c>
      <c r="O71" s="701">
        <v>200</v>
      </c>
      <c r="P71" s="701">
        <v>0.12</v>
      </c>
      <c r="Q71" s="701">
        <v>0.9</v>
      </c>
      <c r="R71" s="701">
        <v>0.49</v>
      </c>
      <c r="S71" s="702">
        <v>0.176</v>
      </c>
      <c r="T71" s="651"/>
      <c r="U71" s="968">
        <f t="shared" si="36"/>
        <v>6.399999999999993</v>
      </c>
      <c r="V71" s="970">
        <f t="shared" si="3"/>
        <v>181.4367999999998</v>
      </c>
      <c r="W71" s="651"/>
      <c r="X71" s="703">
        <f t="shared" si="37"/>
        <v>0</v>
      </c>
      <c r="Y71" s="704">
        <f t="shared" si="38"/>
        <v>0</v>
      </c>
      <c r="Z71" s="704">
        <f t="shared" si="39"/>
        <v>0</v>
      </c>
      <c r="AA71" s="704">
        <f t="shared" si="40"/>
        <v>0</v>
      </c>
      <c r="AB71" s="704">
        <f t="shared" si="41"/>
        <v>0</v>
      </c>
      <c r="AC71" s="705">
        <f t="shared" si="42"/>
        <v>0</v>
      </c>
      <c r="AD71" s="705">
        <f t="shared" si="43"/>
        <v>0</v>
      </c>
      <c r="AE71" s="705">
        <f t="shared" si="44"/>
        <v>0</v>
      </c>
      <c r="AF71" s="705">
        <f t="shared" si="45"/>
        <v>0</v>
      </c>
      <c r="AG71" s="705">
        <f t="shared" si="46"/>
        <v>0</v>
      </c>
      <c r="AH71" s="706">
        <f t="shared" si="47"/>
        <v>0</v>
      </c>
      <c r="AI71" s="648"/>
      <c r="AJ71" s="705">
        <f t="shared" si="48"/>
        <v>0</v>
      </c>
      <c r="AK71" s="705">
        <f t="shared" si="49"/>
        <v>0</v>
      </c>
      <c r="AL71" s="722">
        <f t="shared" si="50"/>
        <v>0</v>
      </c>
      <c r="AM71" s="720">
        <v>11</v>
      </c>
      <c r="AN71" s="650">
        <v>11</v>
      </c>
      <c r="AO71" s="650">
        <v>17</v>
      </c>
      <c r="AQ71" s="723" t="s">
        <v>107</v>
      </c>
      <c r="AR71" s="743"/>
      <c r="AS71" s="744"/>
      <c r="AT71" s="744"/>
      <c r="AU71" s="744"/>
    </row>
    <row r="72" spans="1:47" ht="13.5">
      <c r="A72" s="651"/>
      <c r="B72" s="1284">
        <v>0.14</v>
      </c>
      <c r="C72" s="721" t="s">
        <v>796</v>
      </c>
      <c r="D72" s="708"/>
      <c r="E72" s="847"/>
      <c r="F72" s="847"/>
      <c r="G72" s="980">
        <f t="shared" si="28"/>
        <v>0</v>
      </c>
      <c r="H72" s="694">
        <f t="shared" si="51"/>
        <v>0</v>
      </c>
      <c r="I72" s="698">
        <v>8</v>
      </c>
      <c r="J72" s="698">
        <v>0.1</v>
      </c>
      <c r="K72" s="697">
        <v>0.1</v>
      </c>
      <c r="L72" s="711">
        <v>10</v>
      </c>
      <c r="M72" s="710">
        <v>0.5</v>
      </c>
      <c r="N72" s="700">
        <v>50</v>
      </c>
      <c r="O72" s="701">
        <v>255</v>
      </c>
      <c r="P72" s="701">
        <v>0.027</v>
      </c>
      <c r="Q72" s="701">
        <v>0.338</v>
      </c>
      <c r="R72" s="701">
        <v>0.218</v>
      </c>
      <c r="S72" s="702">
        <v>0.019</v>
      </c>
      <c r="T72" s="651"/>
      <c r="U72" s="968">
        <f t="shared" si="36"/>
        <v>6.499999999999993</v>
      </c>
      <c r="V72" s="970">
        <f t="shared" si="3"/>
        <v>184.2717499999998</v>
      </c>
      <c r="W72" s="651"/>
      <c r="X72" s="703">
        <f t="shared" si="37"/>
        <v>0</v>
      </c>
      <c r="Y72" s="704">
        <f t="shared" si="38"/>
        <v>0</v>
      </c>
      <c r="Z72" s="704">
        <f t="shared" si="39"/>
        <v>0</v>
      </c>
      <c r="AA72" s="704">
        <f t="shared" si="40"/>
        <v>0</v>
      </c>
      <c r="AB72" s="704">
        <f t="shared" si="41"/>
        <v>0</v>
      </c>
      <c r="AC72" s="705">
        <f t="shared" si="42"/>
        <v>0</v>
      </c>
      <c r="AD72" s="705">
        <f t="shared" si="43"/>
        <v>0</v>
      </c>
      <c r="AE72" s="705">
        <f t="shared" si="44"/>
        <v>0</v>
      </c>
      <c r="AF72" s="705">
        <f t="shared" si="45"/>
        <v>0</v>
      </c>
      <c r="AG72" s="705">
        <f t="shared" si="46"/>
        <v>0</v>
      </c>
      <c r="AH72" s="706">
        <f t="shared" si="47"/>
        <v>0</v>
      </c>
      <c r="AI72" s="648"/>
      <c r="AJ72" s="705">
        <f t="shared" si="48"/>
        <v>0</v>
      </c>
      <c r="AK72" s="705">
        <f t="shared" si="49"/>
        <v>0</v>
      </c>
      <c r="AL72" s="722">
        <f t="shared" si="50"/>
        <v>0</v>
      </c>
      <c r="AM72" s="720">
        <v>24</v>
      </c>
      <c r="AN72" s="650">
        <v>10</v>
      </c>
      <c r="AO72" s="650">
        <v>5</v>
      </c>
      <c r="AQ72" s="723"/>
      <c r="AR72" s="743"/>
      <c r="AS72" s="744"/>
      <c r="AT72" s="744"/>
      <c r="AU72" s="744"/>
    </row>
    <row r="73" spans="1:47" ht="13.5">
      <c r="A73" s="651"/>
      <c r="B73" s="1284">
        <v>0.28</v>
      </c>
      <c r="C73" s="721" t="s">
        <v>797</v>
      </c>
      <c r="D73" s="708"/>
      <c r="E73" s="847"/>
      <c r="F73" s="847"/>
      <c r="G73" s="980">
        <f t="shared" si="28"/>
        <v>0</v>
      </c>
      <c r="H73" s="694">
        <f t="shared" si="51"/>
        <v>0</v>
      </c>
      <c r="I73" s="698">
        <v>6</v>
      </c>
      <c r="J73" s="698">
        <v>3</v>
      </c>
      <c r="K73" s="697">
        <v>0.1</v>
      </c>
      <c r="L73" s="729">
        <v>10</v>
      </c>
      <c r="M73" s="710">
        <v>0.5</v>
      </c>
      <c r="N73" s="701">
        <v>440</v>
      </c>
      <c r="O73" s="701">
        <v>350</v>
      </c>
      <c r="P73" s="701">
        <v>0</v>
      </c>
      <c r="Q73" s="701">
        <v>1.5</v>
      </c>
      <c r="R73" s="701">
        <v>0</v>
      </c>
      <c r="S73" s="702">
        <v>0.1</v>
      </c>
      <c r="T73" s="651"/>
      <c r="U73" s="968">
        <f t="shared" si="36"/>
        <v>6.5999999999999925</v>
      </c>
      <c r="V73" s="970">
        <f t="shared" si="3"/>
        <v>187.1066999999998</v>
      </c>
      <c r="W73" s="651"/>
      <c r="X73" s="703">
        <f t="shared" si="37"/>
        <v>0</v>
      </c>
      <c r="Y73" s="704">
        <f t="shared" si="38"/>
        <v>0</v>
      </c>
      <c r="Z73" s="704">
        <f t="shared" si="39"/>
        <v>0</v>
      </c>
      <c r="AA73" s="704">
        <f t="shared" si="40"/>
        <v>0</v>
      </c>
      <c r="AB73" s="704">
        <f t="shared" si="41"/>
        <v>0</v>
      </c>
      <c r="AC73" s="705">
        <f t="shared" si="42"/>
        <v>0</v>
      </c>
      <c r="AD73" s="705">
        <f t="shared" si="43"/>
        <v>0</v>
      </c>
      <c r="AE73" s="705">
        <f t="shared" si="44"/>
        <v>0</v>
      </c>
      <c r="AF73" s="705">
        <f t="shared" si="45"/>
        <v>0</v>
      </c>
      <c r="AG73" s="705">
        <f t="shared" si="46"/>
        <v>0</v>
      </c>
      <c r="AH73" s="706">
        <f t="shared" si="47"/>
        <v>0</v>
      </c>
      <c r="AI73" s="648"/>
      <c r="AJ73" s="705">
        <f t="shared" si="48"/>
        <v>0</v>
      </c>
      <c r="AK73" s="705">
        <f t="shared" si="49"/>
        <v>0</v>
      </c>
      <c r="AL73" s="722">
        <f t="shared" si="50"/>
        <v>0</v>
      </c>
      <c r="AM73" s="720">
        <v>12</v>
      </c>
      <c r="AN73" s="650">
        <v>29</v>
      </c>
      <c r="AO73" s="650">
        <v>68</v>
      </c>
      <c r="AQ73" s="723"/>
      <c r="AR73" s="743"/>
      <c r="AS73" s="744"/>
      <c r="AT73" s="744"/>
      <c r="AU73" s="744"/>
    </row>
    <row r="74" spans="1:47" ht="13.5">
      <c r="A74" s="651"/>
      <c r="B74" s="1284">
        <v>0.12</v>
      </c>
      <c r="C74" s="721" t="s">
        <v>798</v>
      </c>
      <c r="D74" s="708" t="s">
        <v>757</v>
      </c>
      <c r="E74" s="847"/>
      <c r="F74" s="847"/>
      <c r="G74" s="980">
        <f t="shared" si="28"/>
        <v>0</v>
      </c>
      <c r="H74" s="694">
        <f t="shared" si="51"/>
        <v>0</v>
      </c>
      <c r="I74" s="698">
        <v>8.5</v>
      </c>
      <c r="J74" s="698">
        <v>0.65</v>
      </c>
      <c r="K74" s="698">
        <v>0.1</v>
      </c>
      <c r="L74" s="711">
        <v>14</v>
      </c>
      <c r="M74" s="699">
        <v>0.4</v>
      </c>
      <c r="N74" s="701">
        <v>100</v>
      </c>
      <c r="O74" s="701">
        <v>190</v>
      </c>
      <c r="P74" s="701">
        <v>0.024</v>
      </c>
      <c r="Q74" s="701">
        <v>0.806</v>
      </c>
      <c r="R74" s="701">
        <v>0.153</v>
      </c>
      <c r="S74" s="702">
        <v>0.025</v>
      </c>
      <c r="T74" s="651"/>
      <c r="U74" s="968">
        <f t="shared" si="36"/>
        <v>6.699999999999992</v>
      </c>
      <c r="V74" s="970">
        <f t="shared" si="3"/>
        <v>189.94164999999978</v>
      </c>
      <c r="W74" s="651"/>
      <c r="X74" s="703">
        <f t="shared" si="37"/>
        <v>0</v>
      </c>
      <c r="Y74" s="704">
        <f t="shared" si="38"/>
        <v>0</v>
      </c>
      <c r="Z74" s="704">
        <f t="shared" si="39"/>
        <v>0</v>
      </c>
      <c r="AA74" s="704">
        <f t="shared" si="40"/>
        <v>0</v>
      </c>
      <c r="AB74" s="704">
        <f t="shared" si="41"/>
        <v>0</v>
      </c>
      <c r="AC74" s="705">
        <f t="shared" si="42"/>
        <v>0</v>
      </c>
      <c r="AD74" s="705">
        <f t="shared" si="43"/>
        <v>0</v>
      </c>
      <c r="AE74" s="705">
        <f t="shared" si="44"/>
        <v>0</v>
      </c>
      <c r="AF74" s="705">
        <f t="shared" si="45"/>
        <v>0</v>
      </c>
      <c r="AG74" s="705">
        <f t="shared" si="46"/>
        <v>0</v>
      </c>
      <c r="AH74" s="706">
        <f t="shared" si="47"/>
        <v>0</v>
      </c>
      <c r="AI74" s="648"/>
      <c r="AJ74" s="705">
        <f t="shared" si="48"/>
        <v>0</v>
      </c>
      <c r="AK74" s="705">
        <f t="shared" si="49"/>
        <v>0</v>
      </c>
      <c r="AL74" s="722">
        <f t="shared" si="50"/>
        <v>0</v>
      </c>
      <c r="AM74" s="720">
        <v>6</v>
      </c>
      <c r="AN74" s="650">
        <v>9</v>
      </c>
      <c r="AO74" s="650">
        <v>20</v>
      </c>
      <c r="AQ74" s="723" t="s">
        <v>748</v>
      </c>
      <c r="AR74" s="743"/>
      <c r="AS74" s="744"/>
      <c r="AT74" s="744"/>
      <c r="AU74" s="744"/>
    </row>
    <row r="75" spans="1:47" ht="13.5">
      <c r="A75" s="651"/>
      <c r="B75" s="1284">
        <v>0.92</v>
      </c>
      <c r="C75" s="721"/>
      <c r="D75" s="708" t="s">
        <v>758</v>
      </c>
      <c r="E75" s="847"/>
      <c r="F75" s="847"/>
      <c r="G75" s="980">
        <f t="shared" si="28"/>
        <v>0</v>
      </c>
      <c r="H75" s="694">
        <f t="shared" si="51"/>
        <v>0</v>
      </c>
      <c r="I75" s="698">
        <v>52</v>
      </c>
      <c r="J75" s="698">
        <v>1</v>
      </c>
      <c r="K75" s="697">
        <v>0.5</v>
      </c>
      <c r="L75" s="711">
        <v>61</v>
      </c>
      <c r="M75" s="710">
        <v>2.4</v>
      </c>
      <c r="N75" s="700">
        <v>50</v>
      </c>
      <c r="O75" s="701">
        <v>995</v>
      </c>
      <c r="P75" s="701">
        <v>0.002</v>
      </c>
      <c r="Q75" s="701">
        <v>4.375</v>
      </c>
      <c r="R75" s="701">
        <v>0.564</v>
      </c>
      <c r="S75" s="702">
        <v>0.067</v>
      </c>
      <c r="T75" s="651"/>
      <c r="U75" s="968">
        <f t="shared" si="36"/>
        <v>6.799999999999992</v>
      </c>
      <c r="V75" s="970">
        <f t="shared" si="3"/>
        <v>192.77659999999977</v>
      </c>
      <c r="W75" s="651"/>
      <c r="X75" s="703">
        <f t="shared" si="37"/>
        <v>0</v>
      </c>
      <c r="Y75" s="704">
        <f t="shared" si="38"/>
        <v>0</v>
      </c>
      <c r="Z75" s="704">
        <f t="shared" si="39"/>
        <v>0</v>
      </c>
      <c r="AA75" s="704">
        <f t="shared" si="40"/>
        <v>0</v>
      </c>
      <c r="AB75" s="704">
        <f t="shared" si="41"/>
        <v>0</v>
      </c>
      <c r="AC75" s="705">
        <f t="shared" si="42"/>
        <v>0</v>
      </c>
      <c r="AD75" s="705">
        <f t="shared" si="43"/>
        <v>0</v>
      </c>
      <c r="AE75" s="705">
        <f t="shared" si="44"/>
        <v>0</v>
      </c>
      <c r="AF75" s="705">
        <f t="shared" si="45"/>
        <v>0</v>
      </c>
      <c r="AG75" s="705">
        <f t="shared" si="46"/>
        <v>0</v>
      </c>
      <c r="AH75" s="706">
        <f t="shared" si="47"/>
        <v>0</v>
      </c>
      <c r="AI75" s="648"/>
      <c r="AJ75" s="705">
        <f t="shared" si="48"/>
        <v>0</v>
      </c>
      <c r="AK75" s="705">
        <f t="shared" si="49"/>
        <v>0</v>
      </c>
      <c r="AL75" s="722">
        <f t="shared" si="50"/>
        <v>0</v>
      </c>
      <c r="AM75" s="720">
        <v>28</v>
      </c>
      <c r="AN75" s="650">
        <v>42</v>
      </c>
      <c r="AO75" s="650">
        <v>119</v>
      </c>
      <c r="AQ75" s="723" t="s">
        <v>748</v>
      </c>
      <c r="AR75" s="743"/>
      <c r="AS75" s="744"/>
      <c r="AT75" s="744"/>
      <c r="AU75" s="744"/>
    </row>
    <row r="76" spans="1:47" ht="13.5">
      <c r="A76" s="651"/>
      <c r="B76" s="1284">
        <v>0.15</v>
      </c>
      <c r="C76" s="721" t="s">
        <v>799</v>
      </c>
      <c r="D76" s="708"/>
      <c r="E76" s="847"/>
      <c r="F76" s="847"/>
      <c r="G76" s="980">
        <f t="shared" si="28"/>
        <v>0</v>
      </c>
      <c r="H76" s="694">
        <f t="shared" si="51"/>
        <v>0</v>
      </c>
      <c r="I76" s="698">
        <v>10</v>
      </c>
      <c r="J76" s="698">
        <v>0.3</v>
      </c>
      <c r="K76" s="698">
        <v>0.1</v>
      </c>
      <c r="L76" s="711">
        <v>15</v>
      </c>
      <c r="M76" s="699">
        <v>0.9</v>
      </c>
      <c r="N76" s="701">
        <v>40</v>
      </c>
      <c r="O76" s="701">
        <v>119</v>
      </c>
      <c r="P76" s="701">
        <v>0.012</v>
      </c>
      <c r="Q76" s="701">
        <v>0.157</v>
      </c>
      <c r="R76" s="701">
        <v>0.048</v>
      </c>
      <c r="S76" s="702">
        <v>0.028</v>
      </c>
      <c r="T76" s="651"/>
      <c r="U76" s="968">
        <f t="shared" si="36"/>
        <v>6.8999999999999915</v>
      </c>
      <c r="V76" s="970">
        <f t="shared" si="3"/>
        <v>195.61154999999974</v>
      </c>
      <c r="W76" s="651"/>
      <c r="X76" s="703">
        <f t="shared" si="37"/>
        <v>0</v>
      </c>
      <c r="Y76" s="704">
        <f t="shared" si="38"/>
        <v>0</v>
      </c>
      <c r="Z76" s="704">
        <f t="shared" si="39"/>
        <v>0</v>
      </c>
      <c r="AA76" s="704">
        <f t="shared" si="40"/>
        <v>0</v>
      </c>
      <c r="AB76" s="704">
        <f t="shared" si="41"/>
        <v>0</v>
      </c>
      <c r="AC76" s="705">
        <f t="shared" si="42"/>
        <v>0</v>
      </c>
      <c r="AD76" s="705">
        <f t="shared" si="43"/>
        <v>0</v>
      </c>
      <c r="AE76" s="705">
        <f t="shared" si="44"/>
        <v>0</v>
      </c>
      <c r="AF76" s="705">
        <f t="shared" si="45"/>
        <v>0</v>
      </c>
      <c r="AG76" s="705">
        <f t="shared" si="46"/>
        <v>0</v>
      </c>
      <c r="AH76" s="706">
        <f t="shared" si="47"/>
        <v>0</v>
      </c>
      <c r="AI76" s="648"/>
      <c r="AJ76" s="705">
        <f t="shared" si="48"/>
        <v>0</v>
      </c>
      <c r="AK76" s="705">
        <f t="shared" si="49"/>
        <v>0</v>
      </c>
      <c r="AL76" s="722">
        <f t="shared" si="50"/>
        <v>0</v>
      </c>
      <c r="AM76" s="720">
        <v>9</v>
      </c>
      <c r="AN76" s="650">
        <v>7</v>
      </c>
      <c r="AO76" s="650">
        <v>11</v>
      </c>
      <c r="AQ76" s="723" t="s">
        <v>748</v>
      </c>
      <c r="AR76" s="743"/>
      <c r="AS76" s="744"/>
      <c r="AT76" s="744"/>
      <c r="AU76" s="744"/>
    </row>
    <row r="77" spans="1:47" ht="13.5">
      <c r="A77" s="651"/>
      <c r="B77" s="1284">
        <v>0.25</v>
      </c>
      <c r="C77" s="721" t="s">
        <v>800</v>
      </c>
      <c r="D77" s="708"/>
      <c r="E77" s="847"/>
      <c r="F77" s="847"/>
      <c r="G77" s="980">
        <f t="shared" si="28"/>
        <v>0</v>
      </c>
      <c r="H77" s="694">
        <f t="shared" si="51"/>
        <v>0</v>
      </c>
      <c r="I77" s="698">
        <v>14</v>
      </c>
      <c r="J77" s="698">
        <v>0.2</v>
      </c>
      <c r="K77" s="697">
        <v>0.1</v>
      </c>
      <c r="L77" s="711">
        <v>19</v>
      </c>
      <c r="M77" s="710">
        <v>0.5</v>
      </c>
      <c r="N77" s="700">
        <v>50</v>
      </c>
      <c r="O77" s="701">
        <v>160</v>
      </c>
      <c r="P77" s="701">
        <v>0.03</v>
      </c>
      <c r="Q77" s="701">
        <v>0.1</v>
      </c>
      <c r="R77" s="701">
        <v>0</v>
      </c>
      <c r="S77" s="702">
        <v>0.1</v>
      </c>
      <c r="T77" s="651"/>
      <c r="U77" s="968">
        <f t="shared" si="36"/>
        <v>6.999999999999991</v>
      </c>
      <c r="V77" s="970">
        <f t="shared" si="3"/>
        <v>198.44649999999973</v>
      </c>
      <c r="W77" s="651"/>
      <c r="X77" s="703">
        <f t="shared" si="37"/>
        <v>0</v>
      </c>
      <c r="Y77" s="704">
        <f t="shared" si="38"/>
        <v>0</v>
      </c>
      <c r="Z77" s="704">
        <f t="shared" si="39"/>
        <v>0</v>
      </c>
      <c r="AA77" s="704">
        <f t="shared" si="40"/>
        <v>0</v>
      </c>
      <c r="AB77" s="704">
        <f t="shared" si="41"/>
        <v>0</v>
      </c>
      <c r="AC77" s="705">
        <f t="shared" si="42"/>
        <v>0</v>
      </c>
      <c r="AD77" s="705">
        <f t="shared" si="43"/>
        <v>0</v>
      </c>
      <c r="AE77" s="705">
        <f t="shared" si="44"/>
        <v>0</v>
      </c>
      <c r="AF77" s="705">
        <f t="shared" si="45"/>
        <v>0</v>
      </c>
      <c r="AG77" s="705">
        <f t="shared" si="46"/>
        <v>0</v>
      </c>
      <c r="AH77" s="706">
        <f t="shared" si="47"/>
        <v>0</v>
      </c>
      <c r="AI77" s="648"/>
      <c r="AJ77" s="705">
        <f t="shared" si="48"/>
        <v>0</v>
      </c>
      <c r="AK77" s="705">
        <f t="shared" si="49"/>
        <v>0</v>
      </c>
      <c r="AL77" s="722">
        <f t="shared" si="50"/>
        <v>0</v>
      </c>
      <c r="AM77" s="720">
        <v>8</v>
      </c>
      <c r="AN77" s="650">
        <v>9</v>
      </c>
      <c r="AO77" s="650">
        <v>17</v>
      </c>
      <c r="AQ77" s="723"/>
      <c r="AR77" s="743"/>
      <c r="AS77" s="744"/>
      <c r="AT77" s="744"/>
      <c r="AU77" s="744"/>
    </row>
    <row r="78" spans="1:47" ht="13.5">
      <c r="A78" s="651"/>
      <c r="B78" s="1284">
        <v>0.18</v>
      </c>
      <c r="C78" s="721" t="s">
        <v>801</v>
      </c>
      <c r="D78" s="708"/>
      <c r="E78" s="847"/>
      <c r="F78" s="847"/>
      <c r="G78" s="980">
        <f t="shared" si="28"/>
        <v>0</v>
      </c>
      <c r="H78" s="694">
        <f t="shared" si="51"/>
        <v>0</v>
      </c>
      <c r="I78" s="698">
        <v>12</v>
      </c>
      <c r="J78" s="698">
        <v>1.1</v>
      </c>
      <c r="K78" s="697">
        <v>0.2</v>
      </c>
      <c r="L78" s="711">
        <v>13</v>
      </c>
      <c r="M78" s="699">
        <v>0.1</v>
      </c>
      <c r="N78" s="701">
        <v>80</v>
      </c>
      <c r="O78" s="701">
        <v>110</v>
      </c>
      <c r="P78" s="701">
        <v>0.079</v>
      </c>
      <c r="Q78" s="701">
        <v>0.5</v>
      </c>
      <c r="R78" s="701">
        <v>0.213</v>
      </c>
      <c r="S78" s="702">
        <v>0.112</v>
      </c>
      <c r="T78" s="651"/>
      <c r="U78" s="968">
        <f t="shared" si="36"/>
        <v>7.099999999999991</v>
      </c>
      <c r="V78" s="970">
        <f t="shared" si="3"/>
        <v>201.28144999999972</v>
      </c>
      <c r="W78" s="651"/>
      <c r="X78" s="703">
        <f t="shared" si="37"/>
        <v>0</v>
      </c>
      <c r="Y78" s="704">
        <f t="shared" si="38"/>
        <v>0</v>
      </c>
      <c r="Z78" s="704">
        <f t="shared" si="39"/>
        <v>0</v>
      </c>
      <c r="AA78" s="704">
        <f t="shared" si="40"/>
        <v>0</v>
      </c>
      <c r="AB78" s="704">
        <f t="shared" si="41"/>
        <v>0</v>
      </c>
      <c r="AC78" s="705">
        <f t="shared" si="42"/>
        <v>0</v>
      </c>
      <c r="AD78" s="705">
        <f t="shared" si="43"/>
        <v>0</v>
      </c>
      <c r="AE78" s="705">
        <f t="shared" si="44"/>
        <v>0</v>
      </c>
      <c r="AF78" s="705">
        <f t="shared" si="45"/>
        <v>0</v>
      </c>
      <c r="AG78" s="705">
        <f t="shared" si="46"/>
        <v>0</v>
      </c>
      <c r="AH78" s="706">
        <f t="shared" si="47"/>
        <v>0</v>
      </c>
      <c r="AI78" s="648"/>
      <c r="AJ78" s="705">
        <f t="shared" si="48"/>
        <v>0</v>
      </c>
      <c r="AK78" s="705">
        <f t="shared" si="49"/>
        <v>0</v>
      </c>
      <c r="AL78" s="722">
        <f t="shared" si="50"/>
        <v>0</v>
      </c>
      <c r="AM78" s="720">
        <v>13</v>
      </c>
      <c r="AN78" s="650">
        <v>12</v>
      </c>
      <c r="AO78" s="650">
        <v>12</v>
      </c>
      <c r="AQ78" s="723" t="s">
        <v>107</v>
      </c>
      <c r="AR78" s="743"/>
      <c r="AS78" s="744"/>
      <c r="AT78" s="744"/>
      <c r="AU78" s="744"/>
    </row>
    <row r="79" spans="1:47" ht="13.5">
      <c r="A79" s="651"/>
      <c r="B79" s="1284">
        <v>0.14</v>
      </c>
      <c r="C79" s="721" t="s">
        <v>802</v>
      </c>
      <c r="D79" s="708" t="s">
        <v>747</v>
      </c>
      <c r="E79" s="847"/>
      <c r="F79" s="847"/>
      <c r="G79" s="980">
        <f t="shared" si="28"/>
        <v>0</v>
      </c>
      <c r="H79" s="694">
        <f t="shared" si="51"/>
        <v>0</v>
      </c>
      <c r="I79" s="698">
        <v>7</v>
      </c>
      <c r="J79" s="698">
        <v>1.6</v>
      </c>
      <c r="K79" s="698">
        <v>0.15</v>
      </c>
      <c r="L79" s="729">
        <v>11</v>
      </c>
      <c r="M79" s="699">
        <v>0.9</v>
      </c>
      <c r="N79" s="701">
        <v>90</v>
      </c>
      <c r="O79" s="701">
        <v>155</v>
      </c>
      <c r="P79" s="701">
        <v>0.028</v>
      </c>
      <c r="Q79" s="701">
        <v>0.417</v>
      </c>
      <c r="R79" s="701">
        <v>0.135</v>
      </c>
      <c r="S79" s="702">
        <v>0.029</v>
      </c>
      <c r="T79" s="651"/>
      <c r="U79" s="968">
        <f t="shared" si="36"/>
        <v>7.19999999999999</v>
      </c>
      <c r="V79" s="970">
        <f aca="true" t="shared" si="52" ref="V79:V143">U79*28.3495</f>
        <v>204.11639999999971</v>
      </c>
      <c r="W79" s="651"/>
      <c r="X79" s="703">
        <f t="shared" si="37"/>
        <v>0</v>
      </c>
      <c r="Y79" s="704">
        <f t="shared" si="38"/>
        <v>0</v>
      </c>
      <c r="Z79" s="704">
        <f t="shared" si="39"/>
        <v>0</v>
      </c>
      <c r="AA79" s="704">
        <f t="shared" si="40"/>
        <v>0</v>
      </c>
      <c r="AB79" s="704">
        <f t="shared" si="41"/>
        <v>0</v>
      </c>
      <c r="AC79" s="705">
        <f t="shared" si="42"/>
        <v>0</v>
      </c>
      <c r="AD79" s="705">
        <f t="shared" si="43"/>
        <v>0</v>
      </c>
      <c r="AE79" s="705">
        <f t="shared" si="44"/>
        <v>0</v>
      </c>
      <c r="AF79" s="705">
        <f t="shared" si="45"/>
        <v>0</v>
      </c>
      <c r="AG79" s="705">
        <f t="shared" si="46"/>
        <v>0</v>
      </c>
      <c r="AH79" s="706">
        <f t="shared" si="47"/>
        <v>0</v>
      </c>
      <c r="AI79" s="648"/>
      <c r="AJ79" s="705">
        <f t="shared" si="48"/>
        <v>0</v>
      </c>
      <c r="AK79" s="705">
        <f t="shared" si="49"/>
        <v>0</v>
      </c>
      <c r="AL79" s="722">
        <f t="shared" si="50"/>
        <v>0</v>
      </c>
      <c r="AM79" s="720">
        <v>6</v>
      </c>
      <c r="AN79" s="650">
        <v>7</v>
      </c>
      <c r="AO79" s="650">
        <v>16</v>
      </c>
      <c r="AQ79" s="723" t="s">
        <v>748</v>
      </c>
      <c r="AR79" s="743"/>
      <c r="AS79" s="744"/>
      <c r="AT79" s="744"/>
      <c r="AU79" s="744"/>
    </row>
    <row r="80" spans="1:47" ht="13.5">
      <c r="A80" s="651"/>
      <c r="B80" s="1284">
        <v>0.14</v>
      </c>
      <c r="C80" s="721"/>
      <c r="D80" s="708" t="s">
        <v>750</v>
      </c>
      <c r="E80" s="847"/>
      <c r="F80" s="847"/>
      <c r="G80" s="980">
        <f t="shared" si="28"/>
        <v>0</v>
      </c>
      <c r="H80" s="694">
        <f t="shared" si="51"/>
        <v>0</v>
      </c>
      <c r="I80" s="698">
        <v>10</v>
      </c>
      <c r="J80" s="697">
        <v>1.5</v>
      </c>
      <c r="K80" s="698">
        <v>0.15</v>
      </c>
      <c r="L80" s="711">
        <v>11</v>
      </c>
      <c r="M80" s="699">
        <v>0.9</v>
      </c>
      <c r="N80" s="701">
        <v>90</v>
      </c>
      <c r="O80" s="701">
        <v>155</v>
      </c>
      <c r="P80" s="701">
        <v>0.028</v>
      </c>
      <c r="Q80" s="701">
        <v>0.417</v>
      </c>
      <c r="R80" s="701">
        <v>0.135</v>
      </c>
      <c r="S80" s="702">
        <v>0.029</v>
      </c>
      <c r="T80" s="651"/>
      <c r="U80" s="968">
        <f t="shared" si="36"/>
        <v>7.29999999999999</v>
      </c>
      <c r="V80" s="970">
        <f t="shared" si="52"/>
        <v>206.9513499999997</v>
      </c>
      <c r="W80" s="651"/>
      <c r="X80" s="703">
        <f t="shared" si="37"/>
        <v>0</v>
      </c>
      <c r="Y80" s="704">
        <f t="shared" si="38"/>
        <v>0</v>
      </c>
      <c r="Z80" s="704">
        <f t="shared" si="39"/>
        <v>0</v>
      </c>
      <c r="AA80" s="704">
        <f t="shared" si="40"/>
        <v>0</v>
      </c>
      <c r="AB80" s="704">
        <f t="shared" si="41"/>
        <v>0</v>
      </c>
      <c r="AC80" s="705">
        <f t="shared" si="42"/>
        <v>0</v>
      </c>
      <c r="AD80" s="705">
        <f t="shared" si="43"/>
        <v>0</v>
      </c>
      <c r="AE80" s="705">
        <f t="shared" si="44"/>
        <v>0</v>
      </c>
      <c r="AF80" s="705">
        <f t="shared" si="45"/>
        <v>0</v>
      </c>
      <c r="AG80" s="705">
        <f t="shared" si="46"/>
        <v>0</v>
      </c>
      <c r="AH80" s="706">
        <f t="shared" si="47"/>
        <v>0</v>
      </c>
      <c r="AI80" s="648"/>
      <c r="AJ80" s="705">
        <f t="shared" si="48"/>
        <v>0</v>
      </c>
      <c r="AK80" s="705">
        <f t="shared" si="49"/>
        <v>0</v>
      </c>
      <c r="AL80" s="722">
        <f t="shared" si="50"/>
        <v>0</v>
      </c>
      <c r="AM80" s="720">
        <v>6</v>
      </c>
      <c r="AN80" s="650">
        <v>7</v>
      </c>
      <c r="AO80" s="650">
        <v>16</v>
      </c>
      <c r="AQ80" s="723" t="s">
        <v>748</v>
      </c>
      <c r="AR80" s="743"/>
      <c r="AS80" s="744"/>
      <c r="AT80" s="744"/>
      <c r="AU80" s="744"/>
    </row>
    <row r="81" spans="1:47" ht="13.5">
      <c r="A81" s="651"/>
      <c r="B81" s="1284">
        <v>0.69</v>
      </c>
      <c r="C81" s="721" t="s">
        <v>803</v>
      </c>
      <c r="D81" s="708"/>
      <c r="E81" s="847"/>
      <c r="F81" s="847"/>
      <c r="G81" s="980">
        <f t="shared" si="28"/>
        <v>0</v>
      </c>
      <c r="H81" s="694">
        <f t="shared" si="51"/>
        <v>0</v>
      </c>
      <c r="I81" s="698">
        <v>47</v>
      </c>
      <c r="J81" s="698">
        <v>1.3</v>
      </c>
      <c r="K81" s="697">
        <v>1</v>
      </c>
      <c r="L81" s="729">
        <v>70</v>
      </c>
      <c r="M81" s="710">
        <v>5.5</v>
      </c>
      <c r="N81" s="700">
        <v>50</v>
      </c>
      <c r="O81" s="701">
        <v>730</v>
      </c>
      <c r="P81" s="701">
        <v>0.118</v>
      </c>
      <c r="Q81" s="701">
        <v>2.995</v>
      </c>
      <c r="R81" s="701">
        <v>0.418</v>
      </c>
      <c r="S81" s="702">
        <v>0.745</v>
      </c>
      <c r="T81" s="651"/>
      <c r="U81" s="968">
        <f t="shared" si="36"/>
        <v>7.39999999999999</v>
      </c>
      <c r="V81" s="970">
        <f t="shared" si="52"/>
        <v>209.7862999999997</v>
      </c>
      <c r="W81" s="651"/>
      <c r="X81" s="703">
        <f t="shared" si="37"/>
        <v>0</v>
      </c>
      <c r="Y81" s="704">
        <f t="shared" si="38"/>
        <v>0</v>
      </c>
      <c r="Z81" s="704">
        <f t="shared" si="39"/>
        <v>0</v>
      </c>
      <c r="AA81" s="704">
        <f t="shared" si="40"/>
        <v>0</v>
      </c>
      <c r="AB81" s="704">
        <f t="shared" si="41"/>
        <v>0</v>
      </c>
      <c r="AC81" s="705">
        <f t="shared" si="42"/>
        <v>0</v>
      </c>
      <c r="AD81" s="705">
        <f t="shared" si="43"/>
        <v>0</v>
      </c>
      <c r="AE81" s="705">
        <f t="shared" si="44"/>
        <v>0</v>
      </c>
      <c r="AF81" s="705">
        <f t="shared" si="45"/>
        <v>0</v>
      </c>
      <c r="AG81" s="705">
        <f t="shared" si="46"/>
        <v>0</v>
      </c>
      <c r="AH81" s="706">
        <f t="shared" si="47"/>
        <v>0</v>
      </c>
      <c r="AI81" s="648"/>
      <c r="AJ81" s="705">
        <f t="shared" si="48"/>
        <v>0</v>
      </c>
      <c r="AK81" s="705">
        <f t="shared" si="49"/>
        <v>0</v>
      </c>
      <c r="AL81" s="722">
        <f t="shared" si="50"/>
        <v>0</v>
      </c>
      <c r="AM81" s="720">
        <v>43</v>
      </c>
      <c r="AN81" s="650">
        <v>41</v>
      </c>
      <c r="AO81" s="650">
        <v>69</v>
      </c>
      <c r="AQ81" s="723" t="s">
        <v>748</v>
      </c>
      <c r="AR81" s="743"/>
      <c r="AS81" s="744"/>
      <c r="AT81" s="744"/>
      <c r="AU81" s="744"/>
    </row>
    <row r="82" spans="1:47" ht="13.5">
      <c r="A82" s="651"/>
      <c r="B82" s="1284">
        <v>0.12</v>
      </c>
      <c r="C82" s="721" t="s">
        <v>804</v>
      </c>
      <c r="D82" s="708"/>
      <c r="E82" s="847"/>
      <c r="F82" s="847"/>
      <c r="G82" s="980">
        <f t="shared" si="28"/>
        <v>0</v>
      </c>
      <c r="H82" s="694">
        <f t="shared" si="51"/>
        <v>0</v>
      </c>
      <c r="I82" s="698">
        <v>8</v>
      </c>
      <c r="J82" s="698">
        <v>0.95</v>
      </c>
      <c r="K82" s="698">
        <v>0.15</v>
      </c>
      <c r="L82" s="711">
        <v>15</v>
      </c>
      <c r="M82" s="699">
        <v>1.1</v>
      </c>
      <c r="N82" s="701">
        <v>50</v>
      </c>
      <c r="O82" s="701">
        <v>190</v>
      </c>
      <c r="P82" s="701">
        <v>0.02</v>
      </c>
      <c r="Q82" s="701">
        <v>0.2</v>
      </c>
      <c r="R82" s="701">
        <v>0.081</v>
      </c>
      <c r="S82" s="702">
        <v>0.04</v>
      </c>
      <c r="T82" s="651"/>
      <c r="U82" s="968">
        <f t="shared" si="36"/>
        <v>7.499999999999989</v>
      </c>
      <c r="V82" s="970">
        <f t="shared" si="52"/>
        <v>212.6212499999997</v>
      </c>
      <c r="W82" s="651"/>
      <c r="X82" s="703">
        <f t="shared" si="37"/>
        <v>0</v>
      </c>
      <c r="Y82" s="704">
        <f t="shared" si="38"/>
        <v>0</v>
      </c>
      <c r="Z82" s="704">
        <f t="shared" si="39"/>
        <v>0</v>
      </c>
      <c r="AA82" s="704">
        <f t="shared" si="40"/>
        <v>0</v>
      </c>
      <c r="AB82" s="704">
        <f t="shared" si="41"/>
        <v>0</v>
      </c>
      <c r="AC82" s="705">
        <f t="shared" si="42"/>
        <v>0</v>
      </c>
      <c r="AD82" s="705">
        <f t="shared" si="43"/>
        <v>0</v>
      </c>
      <c r="AE82" s="705">
        <f t="shared" si="44"/>
        <v>0</v>
      </c>
      <c r="AF82" s="705">
        <f t="shared" si="45"/>
        <v>0</v>
      </c>
      <c r="AG82" s="705">
        <f t="shared" si="46"/>
        <v>0</v>
      </c>
      <c r="AH82" s="706">
        <f t="shared" si="47"/>
        <v>0</v>
      </c>
      <c r="AI82" s="648"/>
      <c r="AJ82" s="705">
        <f t="shared" si="48"/>
        <v>0</v>
      </c>
      <c r="AK82" s="705">
        <f t="shared" si="49"/>
        <v>0</v>
      </c>
      <c r="AL82" s="722">
        <f t="shared" si="50"/>
        <v>0</v>
      </c>
      <c r="AM82" s="720">
        <v>11</v>
      </c>
      <c r="AN82" s="650">
        <v>8</v>
      </c>
      <c r="AO82" s="650">
        <v>17</v>
      </c>
      <c r="AQ82" s="723" t="s">
        <v>748</v>
      </c>
      <c r="AR82" s="743"/>
      <c r="AS82" s="744"/>
      <c r="AT82" s="744"/>
      <c r="AU82" s="744"/>
    </row>
    <row r="83" spans="1:47" ht="13.5">
      <c r="A83" s="651"/>
      <c r="B83" s="1284">
        <v>0.8</v>
      </c>
      <c r="C83" s="721" t="s">
        <v>805</v>
      </c>
      <c r="D83" s="708"/>
      <c r="E83" s="847"/>
      <c r="F83" s="847"/>
      <c r="G83" s="980">
        <f t="shared" si="28"/>
        <v>0</v>
      </c>
      <c r="H83" s="694">
        <f t="shared" si="51"/>
        <v>0</v>
      </c>
      <c r="I83" s="698">
        <v>67</v>
      </c>
      <c r="J83" s="698">
        <v>2</v>
      </c>
      <c r="K83" s="697">
        <v>0.5</v>
      </c>
      <c r="L83" s="711">
        <v>79</v>
      </c>
      <c r="M83" s="710">
        <v>1.6</v>
      </c>
      <c r="N83" s="700">
        <v>50</v>
      </c>
      <c r="O83" s="701">
        <v>740</v>
      </c>
      <c r="P83" s="701">
        <v>0.106</v>
      </c>
      <c r="Q83" s="701">
        <v>0.766</v>
      </c>
      <c r="R83" s="701">
        <v>0.095</v>
      </c>
      <c r="S83" s="702">
        <v>0.174</v>
      </c>
      <c r="T83" s="651"/>
      <c r="U83" s="968">
        <f t="shared" si="36"/>
        <v>7.599999999999989</v>
      </c>
      <c r="V83" s="970">
        <f t="shared" si="52"/>
        <v>215.45619999999968</v>
      </c>
      <c r="W83" s="651"/>
      <c r="X83" s="703">
        <f t="shared" si="37"/>
        <v>0</v>
      </c>
      <c r="Y83" s="704">
        <f t="shared" si="38"/>
        <v>0</v>
      </c>
      <c r="Z83" s="704">
        <f t="shared" si="39"/>
        <v>0</v>
      </c>
      <c r="AA83" s="704">
        <f t="shared" si="40"/>
        <v>0</v>
      </c>
      <c r="AB83" s="704">
        <f t="shared" si="41"/>
        <v>0</v>
      </c>
      <c r="AC83" s="705">
        <f t="shared" si="42"/>
        <v>0</v>
      </c>
      <c r="AD83" s="705">
        <f t="shared" si="43"/>
        <v>0</v>
      </c>
      <c r="AE83" s="705">
        <f t="shared" si="44"/>
        <v>0</v>
      </c>
      <c r="AF83" s="705">
        <f t="shared" si="45"/>
        <v>0</v>
      </c>
      <c r="AG83" s="705">
        <f t="shared" si="46"/>
        <v>0</v>
      </c>
      <c r="AH83" s="706">
        <f t="shared" si="47"/>
        <v>0</v>
      </c>
      <c r="AI83" s="648"/>
      <c r="AJ83" s="705">
        <f t="shared" si="48"/>
        <v>0</v>
      </c>
      <c r="AK83" s="705">
        <f t="shared" si="49"/>
        <v>0</v>
      </c>
      <c r="AL83" s="722">
        <f t="shared" si="50"/>
        <v>0</v>
      </c>
      <c r="AM83" s="720">
        <v>50</v>
      </c>
      <c r="AN83" s="650">
        <v>32</v>
      </c>
      <c r="AO83" s="650">
        <v>100</v>
      </c>
      <c r="AQ83" s="723" t="s">
        <v>777</v>
      </c>
      <c r="AR83" s="743"/>
      <c r="AS83" s="744"/>
      <c r="AT83" s="744"/>
      <c r="AU83" s="744"/>
    </row>
    <row r="84" spans="1:47" ht="13.5">
      <c r="A84" s="651"/>
      <c r="B84" s="1284">
        <v>0.15</v>
      </c>
      <c r="C84" s="721" t="s">
        <v>806</v>
      </c>
      <c r="D84" s="708"/>
      <c r="E84" s="847"/>
      <c r="F84" s="847"/>
      <c r="G84" s="980">
        <f t="shared" si="28"/>
        <v>0</v>
      </c>
      <c r="H84" s="694">
        <f t="shared" si="51"/>
        <v>0</v>
      </c>
      <c r="I84" s="698">
        <v>6.5</v>
      </c>
      <c r="J84" s="698">
        <v>1.5</v>
      </c>
      <c r="K84" s="698">
        <v>0.25</v>
      </c>
      <c r="L84" s="711">
        <v>12</v>
      </c>
      <c r="M84" s="699">
        <v>0.5</v>
      </c>
      <c r="N84" s="701">
        <v>140</v>
      </c>
      <c r="O84" s="701">
        <v>151</v>
      </c>
      <c r="P84" s="701">
        <v>0.03</v>
      </c>
      <c r="Q84" s="701">
        <v>0.6</v>
      </c>
      <c r="R84" s="700">
        <v>0</v>
      </c>
      <c r="S84" s="702">
        <v>0.06</v>
      </c>
      <c r="T84" s="651"/>
      <c r="U84" s="968">
        <f t="shared" si="36"/>
        <v>7.699999999999989</v>
      </c>
      <c r="V84" s="970">
        <f t="shared" si="52"/>
        <v>218.29114999999967</v>
      </c>
      <c r="W84" s="734"/>
      <c r="X84" s="703">
        <f t="shared" si="37"/>
        <v>0</v>
      </c>
      <c r="Y84" s="704">
        <f t="shared" si="38"/>
        <v>0</v>
      </c>
      <c r="Z84" s="704">
        <f t="shared" si="39"/>
        <v>0</v>
      </c>
      <c r="AA84" s="704">
        <f t="shared" si="40"/>
        <v>0</v>
      </c>
      <c r="AB84" s="704">
        <f t="shared" si="41"/>
        <v>0</v>
      </c>
      <c r="AC84" s="705">
        <f t="shared" si="42"/>
        <v>0</v>
      </c>
      <c r="AD84" s="705">
        <f t="shared" si="43"/>
        <v>0</v>
      </c>
      <c r="AE84" s="705">
        <f t="shared" si="44"/>
        <v>0</v>
      </c>
      <c r="AF84" s="705">
        <f t="shared" si="45"/>
        <v>0</v>
      </c>
      <c r="AG84" s="705">
        <f t="shared" si="46"/>
        <v>0</v>
      </c>
      <c r="AH84" s="706">
        <f t="shared" si="47"/>
        <v>0</v>
      </c>
      <c r="AI84" s="648"/>
      <c r="AJ84" s="705">
        <f t="shared" si="48"/>
        <v>0</v>
      </c>
      <c r="AK84" s="705">
        <f t="shared" si="49"/>
        <v>0</v>
      </c>
      <c r="AL84" s="722">
        <f t="shared" si="50"/>
        <v>0</v>
      </c>
      <c r="AM84" s="720">
        <v>25</v>
      </c>
      <c r="AN84" s="650">
        <v>22</v>
      </c>
      <c r="AO84" s="650">
        <v>29</v>
      </c>
      <c r="AQ84" s="723" t="s">
        <v>107</v>
      </c>
      <c r="AR84" s="743"/>
      <c r="AS84" s="744"/>
      <c r="AT84" s="744"/>
      <c r="AU84" s="744"/>
    </row>
    <row r="85" spans="1:47" ht="13.5">
      <c r="A85" s="651"/>
      <c r="B85" s="1284">
        <v>0.17</v>
      </c>
      <c r="C85" s="721" t="s">
        <v>807</v>
      </c>
      <c r="D85" s="708"/>
      <c r="E85" s="847"/>
      <c r="F85" s="847"/>
      <c r="G85" s="980">
        <f t="shared" si="28"/>
        <v>0</v>
      </c>
      <c r="H85" s="694">
        <f t="shared" si="51"/>
        <v>0</v>
      </c>
      <c r="I85" s="698">
        <v>7.37</v>
      </c>
      <c r="J85" s="698">
        <v>2.3</v>
      </c>
      <c r="K85" s="698">
        <v>0.1</v>
      </c>
      <c r="L85" s="709">
        <v>13.8</v>
      </c>
      <c r="M85" s="699">
        <v>0.6</v>
      </c>
      <c r="N85" s="701">
        <v>180</v>
      </c>
      <c r="O85" s="701">
        <v>270</v>
      </c>
      <c r="P85" s="701">
        <v>0.04</v>
      </c>
      <c r="Q85" s="701">
        <v>0.1</v>
      </c>
      <c r="R85" s="701">
        <v>0.064</v>
      </c>
      <c r="S85" s="702">
        <v>0.07</v>
      </c>
      <c r="T85" s="651"/>
      <c r="U85" s="968">
        <f t="shared" si="36"/>
        <v>7.799999999999988</v>
      </c>
      <c r="V85" s="970">
        <f t="shared" si="52"/>
        <v>221.12609999999967</v>
      </c>
      <c r="W85" s="651"/>
      <c r="X85" s="703">
        <f t="shared" si="37"/>
        <v>0</v>
      </c>
      <c r="Y85" s="704">
        <f t="shared" si="38"/>
        <v>0</v>
      </c>
      <c r="Z85" s="704">
        <f t="shared" si="39"/>
        <v>0</v>
      </c>
      <c r="AA85" s="704">
        <f t="shared" si="40"/>
        <v>0</v>
      </c>
      <c r="AB85" s="704">
        <f t="shared" si="41"/>
        <v>0</v>
      </c>
      <c r="AC85" s="705">
        <f t="shared" si="42"/>
        <v>0</v>
      </c>
      <c r="AD85" s="705">
        <f t="shared" si="43"/>
        <v>0</v>
      </c>
      <c r="AE85" s="705">
        <f t="shared" si="44"/>
        <v>0</v>
      </c>
      <c r="AF85" s="705">
        <f t="shared" si="45"/>
        <v>0</v>
      </c>
      <c r="AG85" s="705">
        <f t="shared" si="46"/>
        <v>0</v>
      </c>
      <c r="AH85" s="706">
        <f t="shared" si="47"/>
        <v>0</v>
      </c>
      <c r="AI85" s="648"/>
      <c r="AJ85" s="705">
        <f t="shared" si="48"/>
        <v>0</v>
      </c>
      <c r="AK85" s="705">
        <f t="shared" si="49"/>
        <v>0</v>
      </c>
      <c r="AL85" s="722">
        <f t="shared" si="50"/>
        <v>0</v>
      </c>
      <c r="AM85" s="720">
        <v>33</v>
      </c>
      <c r="AN85" s="650">
        <v>13</v>
      </c>
      <c r="AO85" s="650">
        <v>44</v>
      </c>
      <c r="AQ85" s="723" t="s">
        <v>107</v>
      </c>
      <c r="AR85" s="743"/>
      <c r="AS85" s="744"/>
      <c r="AT85" s="744"/>
      <c r="AU85" s="744"/>
    </row>
    <row r="86" spans="1:47" ht="13.5">
      <c r="A86" s="651"/>
      <c r="B86" s="1284">
        <v>0.2</v>
      </c>
      <c r="C86" s="1689" t="s">
        <v>342</v>
      </c>
      <c r="D86" s="708" t="s">
        <v>757</v>
      </c>
      <c r="E86" s="847"/>
      <c r="F86" s="847"/>
      <c r="G86" s="980">
        <f>453.6*(E86+F86/16)</f>
        <v>0</v>
      </c>
      <c r="H86" s="694">
        <f t="shared" si="51"/>
        <v>0</v>
      </c>
      <c r="I86" s="698">
        <v>1.1</v>
      </c>
      <c r="J86" s="698">
        <v>1.5</v>
      </c>
      <c r="K86" s="698">
        <v>0.1</v>
      </c>
      <c r="L86" s="709">
        <v>4.5</v>
      </c>
      <c r="M86" s="699">
        <v>0.4</v>
      </c>
      <c r="N86" s="701">
        <v>100</v>
      </c>
      <c r="O86" s="701">
        <v>280</v>
      </c>
      <c r="P86" s="701">
        <v>0.02</v>
      </c>
      <c r="Q86" s="701">
        <v>0.3</v>
      </c>
      <c r="R86" s="701">
        <v>0.085</v>
      </c>
      <c r="S86" s="702">
        <v>0.024</v>
      </c>
      <c r="T86" s="651"/>
      <c r="U86" s="968">
        <f t="shared" si="36"/>
        <v>7.899999999999988</v>
      </c>
      <c r="V86" s="970">
        <f t="shared" si="52"/>
        <v>223.96104999999966</v>
      </c>
      <c r="W86" s="651"/>
      <c r="X86" s="703">
        <f t="shared" si="37"/>
        <v>0</v>
      </c>
      <c r="Y86" s="704">
        <f t="shared" si="38"/>
        <v>0</v>
      </c>
      <c r="Z86" s="704">
        <f t="shared" si="39"/>
        <v>0</v>
      </c>
      <c r="AA86" s="704">
        <f t="shared" si="40"/>
        <v>0</v>
      </c>
      <c r="AB86" s="704">
        <f t="shared" si="41"/>
        <v>0</v>
      </c>
      <c r="AC86" s="705">
        <f t="shared" si="42"/>
        <v>0</v>
      </c>
      <c r="AD86" s="705">
        <f t="shared" si="43"/>
        <v>0</v>
      </c>
      <c r="AE86" s="705">
        <f t="shared" si="44"/>
        <v>0</v>
      </c>
      <c r="AF86" s="705">
        <f t="shared" si="45"/>
        <v>0</v>
      </c>
      <c r="AG86" s="705">
        <f t="shared" si="46"/>
        <v>0</v>
      </c>
      <c r="AH86" s="706">
        <f t="shared" si="47"/>
        <v>0</v>
      </c>
      <c r="AI86" s="648"/>
      <c r="AJ86" s="705">
        <f t="shared" si="48"/>
        <v>0</v>
      </c>
      <c r="AK86" s="705">
        <f t="shared" si="49"/>
        <v>0</v>
      </c>
      <c r="AL86" s="722">
        <f t="shared" si="50"/>
        <v>0</v>
      </c>
      <c r="AM86" s="720">
        <v>90</v>
      </c>
      <c r="AN86" s="650">
        <v>12</v>
      </c>
      <c r="AO86" s="650">
        <v>14</v>
      </c>
      <c r="AQ86" s="723" t="s">
        <v>748</v>
      </c>
      <c r="AR86" s="743"/>
      <c r="AS86" s="744"/>
      <c r="AT86" s="744"/>
      <c r="AU86" s="744"/>
    </row>
    <row r="87" spans="1:47" ht="13.5">
      <c r="A87" s="651"/>
      <c r="B87" s="1284">
        <v>0</v>
      </c>
      <c r="C87" s="745"/>
      <c r="D87" s="708" t="s">
        <v>772</v>
      </c>
      <c r="E87" s="847"/>
      <c r="F87" s="847"/>
      <c r="G87" s="980">
        <f>100*453.6*(E87+F87/16)/D88</f>
        <v>0</v>
      </c>
      <c r="H87" s="694">
        <f t="shared" si="51"/>
        <v>0</v>
      </c>
      <c r="I87" s="697">
        <v>1</v>
      </c>
      <c r="J87" s="697">
        <v>1.4</v>
      </c>
      <c r="K87" s="697">
        <v>0.1</v>
      </c>
      <c r="L87" s="729">
        <v>1.1</v>
      </c>
      <c r="M87" s="710">
        <v>0.2</v>
      </c>
      <c r="N87" s="700">
        <v>100</v>
      </c>
      <c r="O87" s="700">
        <v>150</v>
      </c>
      <c r="P87" s="700">
        <v>0.02</v>
      </c>
      <c r="Q87" s="700">
        <v>0.3</v>
      </c>
      <c r="R87" s="700">
        <v>0.08</v>
      </c>
      <c r="S87" s="730">
        <v>0.02</v>
      </c>
      <c r="T87" s="651"/>
      <c r="U87" s="968">
        <f t="shared" si="36"/>
        <v>7.999999999999988</v>
      </c>
      <c r="V87" s="970">
        <f t="shared" si="52"/>
        <v>226.79599999999965</v>
      </c>
      <c r="W87" s="651"/>
      <c r="X87" s="703">
        <f t="shared" si="37"/>
        <v>0</v>
      </c>
      <c r="Y87" s="704">
        <f t="shared" si="38"/>
        <v>0</v>
      </c>
      <c r="Z87" s="704">
        <f t="shared" si="39"/>
        <v>0</v>
      </c>
      <c r="AA87" s="704">
        <f t="shared" si="40"/>
        <v>0</v>
      </c>
      <c r="AB87" s="704">
        <f t="shared" si="41"/>
        <v>0</v>
      </c>
      <c r="AC87" s="705">
        <f t="shared" si="42"/>
        <v>0</v>
      </c>
      <c r="AD87" s="705">
        <f t="shared" si="43"/>
        <v>0</v>
      </c>
      <c r="AE87" s="705">
        <f t="shared" si="44"/>
        <v>0</v>
      </c>
      <c r="AF87" s="705">
        <f t="shared" si="45"/>
        <v>0</v>
      </c>
      <c r="AG87" s="705">
        <f t="shared" si="46"/>
        <v>0</v>
      </c>
      <c r="AH87" s="706">
        <f t="shared" si="47"/>
        <v>0</v>
      </c>
      <c r="AI87" s="648"/>
      <c r="AJ87" s="705">
        <f t="shared" si="48"/>
        <v>0</v>
      </c>
      <c r="AK87" s="705">
        <f t="shared" si="49"/>
        <v>0</v>
      </c>
      <c r="AL87" s="722">
        <f t="shared" si="50"/>
        <v>0</v>
      </c>
      <c r="AM87" s="733">
        <v>20</v>
      </c>
      <c r="AN87" s="733">
        <v>10</v>
      </c>
      <c r="AO87" s="733">
        <v>10</v>
      </c>
      <c r="AQ87" s="723" t="s">
        <v>748</v>
      </c>
      <c r="AR87" s="743"/>
      <c r="AS87" s="744"/>
      <c r="AT87" s="744"/>
      <c r="AU87" s="744"/>
    </row>
    <row r="88" spans="1:47" ht="13.5">
      <c r="A88" s="651"/>
      <c r="B88" s="1284"/>
      <c r="C88" s="1709" t="s">
        <v>847</v>
      </c>
      <c r="D88" s="1695">
        <v>75</v>
      </c>
      <c r="E88" s="3080" t="s">
        <v>846</v>
      </c>
      <c r="F88" s="3080"/>
      <c r="G88" s="3081"/>
      <c r="H88" s="694"/>
      <c r="I88" s="3083" t="str">
        <f>(0+E86)&amp;" lb "&amp;(0+F86)&amp;" oz rhubarb gives approx. "&amp;FIXED(D88*G86/2890,1)&amp;" fl oz juice     OR     "&amp;(0+E87)&amp;" lb "&amp;(0+F87)&amp;" oz juice requires "&amp;(INT(T88/16))&amp;" lb "&amp;FIXED(T90,1)&amp;" oz rhubarb"</f>
        <v>0 lb 0 oz rhubarb gives approx. 0.0 fl oz juice     OR     0 lb 0 oz juice requires 0 lb 0.0 oz rhubarb</v>
      </c>
      <c r="J88" s="3083"/>
      <c r="K88" s="3083"/>
      <c r="L88" s="3083"/>
      <c r="M88" s="3083"/>
      <c r="N88" s="3083"/>
      <c r="O88" s="3083"/>
      <c r="P88" s="3083"/>
      <c r="Q88" s="3083"/>
      <c r="R88" s="3083"/>
      <c r="S88" s="3084"/>
      <c r="T88" s="794">
        <f>100*(16*E87+F87)/D88</f>
        <v>0</v>
      </c>
      <c r="U88" s="968">
        <f>U87+0.1</f>
        <v>8.099999999999987</v>
      </c>
      <c r="V88" s="970">
        <f t="shared" si="52"/>
        <v>229.63094999999964</v>
      </c>
      <c r="W88" s="651"/>
      <c r="X88" s="1751"/>
      <c r="Y88" s="704"/>
      <c r="Z88" s="704"/>
      <c r="AA88" s="704"/>
      <c r="AB88" s="704"/>
      <c r="AC88" s="705"/>
      <c r="AD88" s="705"/>
      <c r="AE88" s="705"/>
      <c r="AF88" s="705"/>
      <c r="AG88" s="705"/>
      <c r="AH88" s="706"/>
      <c r="AI88" s="648"/>
      <c r="AJ88" s="705"/>
      <c r="AK88" s="705"/>
      <c r="AL88" s="722"/>
      <c r="AM88" s="733"/>
      <c r="AN88" s="733"/>
      <c r="AO88" s="733"/>
      <c r="AQ88" s="723"/>
      <c r="AR88" s="743"/>
      <c r="AS88" s="744"/>
      <c r="AT88" s="744"/>
      <c r="AU88" s="744"/>
    </row>
    <row r="89" spans="1:47" ht="13.5">
      <c r="A89" s="651"/>
      <c r="B89" s="1284"/>
      <c r="C89" s="2979" t="s">
        <v>345</v>
      </c>
      <c r="D89" s="2980"/>
      <c r="E89" s="2980"/>
      <c r="F89" s="2980"/>
      <c r="G89" s="2980"/>
      <c r="H89" s="2980"/>
      <c r="I89" s="2980"/>
      <c r="J89" s="2980"/>
      <c r="K89" s="2980"/>
      <c r="L89" s="2980"/>
      <c r="M89" s="2980"/>
      <c r="N89" s="2980"/>
      <c r="O89" s="2980"/>
      <c r="P89" s="2980"/>
      <c r="Q89" s="2980"/>
      <c r="R89" s="2980"/>
      <c r="S89" s="2981"/>
      <c r="T89" s="794">
        <f>INT(T88/16)</f>
        <v>0</v>
      </c>
      <c r="U89" s="968">
        <f>U88+0.1</f>
        <v>8.199999999999987</v>
      </c>
      <c r="V89" s="970">
        <f t="shared" si="52"/>
        <v>232.4658999999996</v>
      </c>
      <c r="W89" s="651"/>
      <c r="X89" s="703"/>
      <c r="Y89" s="704"/>
      <c r="Z89" s="704"/>
      <c r="AA89" s="704"/>
      <c r="AB89" s="704"/>
      <c r="AC89" s="705"/>
      <c r="AD89" s="705"/>
      <c r="AE89" s="705"/>
      <c r="AF89" s="705"/>
      <c r="AG89" s="705"/>
      <c r="AH89" s="706"/>
      <c r="AI89" s="648"/>
      <c r="AJ89" s="705"/>
      <c r="AK89" s="705"/>
      <c r="AL89" s="722"/>
      <c r="AM89" s="733"/>
      <c r="AN89" s="733"/>
      <c r="AO89" s="733"/>
      <c r="AQ89" s="723"/>
      <c r="AR89" s="743"/>
      <c r="AS89" s="744"/>
      <c r="AT89" s="744"/>
      <c r="AU89" s="744"/>
    </row>
    <row r="90" spans="1:47" ht="13.5">
      <c r="A90" s="651"/>
      <c r="B90" s="1284">
        <v>0.17</v>
      </c>
      <c r="C90" s="721" t="s">
        <v>809</v>
      </c>
      <c r="D90" s="1712"/>
      <c r="E90" s="847"/>
      <c r="F90" s="847"/>
      <c r="G90" s="980">
        <f t="shared" si="28"/>
        <v>0</v>
      </c>
      <c r="H90" s="694">
        <f t="shared" si="51"/>
        <v>0</v>
      </c>
      <c r="I90" s="698">
        <v>8</v>
      </c>
      <c r="J90" s="697">
        <v>2</v>
      </c>
      <c r="K90" s="697">
        <v>0.3</v>
      </c>
      <c r="L90" s="729">
        <v>9</v>
      </c>
      <c r="M90" s="710">
        <v>0.5</v>
      </c>
      <c r="N90" s="700">
        <v>100</v>
      </c>
      <c r="O90" s="700">
        <v>150</v>
      </c>
      <c r="P90" s="700">
        <v>0.02</v>
      </c>
      <c r="Q90" s="700">
        <v>0.3</v>
      </c>
      <c r="R90" s="700">
        <v>0.08</v>
      </c>
      <c r="S90" s="730">
        <v>0.02</v>
      </c>
      <c r="T90" s="794">
        <f>T88-16*T89</f>
        <v>0</v>
      </c>
      <c r="U90" s="968">
        <f>U89+0.1</f>
        <v>8.299999999999986</v>
      </c>
      <c r="V90" s="970">
        <f t="shared" si="52"/>
        <v>235.3008499999996</v>
      </c>
      <c r="W90" s="651"/>
      <c r="X90" s="703">
        <f t="shared" si="37"/>
        <v>0</v>
      </c>
      <c r="Y90" s="704">
        <f t="shared" si="38"/>
        <v>0</v>
      </c>
      <c r="Z90" s="704">
        <f t="shared" si="39"/>
        <v>0</v>
      </c>
      <c r="AA90" s="704">
        <f t="shared" si="40"/>
        <v>0</v>
      </c>
      <c r="AB90" s="704">
        <f t="shared" si="41"/>
        <v>0</v>
      </c>
      <c r="AC90" s="705">
        <f t="shared" si="42"/>
        <v>0</v>
      </c>
      <c r="AD90" s="705">
        <f t="shared" si="43"/>
        <v>0</v>
      </c>
      <c r="AE90" s="705">
        <f t="shared" si="44"/>
        <v>0</v>
      </c>
      <c r="AF90" s="705">
        <f t="shared" si="45"/>
        <v>0</v>
      </c>
      <c r="AG90" s="705">
        <f t="shared" si="46"/>
        <v>0</v>
      </c>
      <c r="AH90" s="706">
        <f t="shared" si="47"/>
        <v>0</v>
      </c>
      <c r="AI90" s="648"/>
      <c r="AJ90" s="705">
        <f t="shared" si="48"/>
        <v>0</v>
      </c>
      <c r="AK90" s="705">
        <f t="shared" si="49"/>
        <v>0</v>
      </c>
      <c r="AL90" s="722">
        <f t="shared" si="50"/>
        <v>0</v>
      </c>
      <c r="AM90" s="733">
        <v>30</v>
      </c>
      <c r="AN90" s="733">
        <v>10</v>
      </c>
      <c r="AO90" s="733">
        <v>15</v>
      </c>
      <c r="AQ90" s="723"/>
      <c r="AR90" s="743"/>
      <c r="AS90" s="744"/>
      <c r="AT90" s="744"/>
      <c r="AU90" s="744"/>
    </row>
    <row r="91" spans="1:47" ht="13.5">
      <c r="A91" s="651"/>
      <c r="B91" s="1284">
        <v>0.1</v>
      </c>
      <c r="C91" s="721" t="s">
        <v>810</v>
      </c>
      <c r="D91" s="708"/>
      <c r="E91" s="847"/>
      <c r="F91" s="847"/>
      <c r="G91" s="980">
        <f t="shared" si="28"/>
        <v>0</v>
      </c>
      <c r="H91" s="694">
        <f t="shared" si="51"/>
        <v>0</v>
      </c>
      <c r="I91" s="698">
        <v>5.5</v>
      </c>
      <c r="J91" s="698">
        <v>1</v>
      </c>
      <c r="K91" s="698">
        <v>0.4</v>
      </c>
      <c r="L91" s="711">
        <v>8</v>
      </c>
      <c r="M91" s="699">
        <v>0.5</v>
      </c>
      <c r="N91" s="701">
        <v>100</v>
      </c>
      <c r="O91" s="701">
        <v>290</v>
      </c>
      <c r="P91" s="701">
        <v>0.03</v>
      </c>
      <c r="Q91" s="701">
        <v>0.6</v>
      </c>
      <c r="R91" s="701">
        <v>0</v>
      </c>
      <c r="S91" s="702">
        <v>0</v>
      </c>
      <c r="T91" s="651"/>
      <c r="U91" s="968">
        <f t="shared" si="36"/>
        <v>8.399999999999986</v>
      </c>
      <c r="V91" s="970">
        <f t="shared" si="52"/>
        <v>238.1357999999996</v>
      </c>
      <c r="W91" s="651"/>
      <c r="X91" s="703">
        <f t="shared" si="37"/>
        <v>0</v>
      </c>
      <c r="Y91" s="704">
        <f t="shared" si="38"/>
        <v>0</v>
      </c>
      <c r="Z91" s="704">
        <f t="shared" si="39"/>
        <v>0</v>
      </c>
      <c r="AA91" s="704">
        <f t="shared" si="40"/>
        <v>0</v>
      </c>
      <c r="AB91" s="704">
        <f t="shared" si="41"/>
        <v>0</v>
      </c>
      <c r="AC91" s="705">
        <f t="shared" si="42"/>
        <v>0</v>
      </c>
      <c r="AD91" s="705">
        <f t="shared" si="43"/>
        <v>0</v>
      </c>
      <c r="AE91" s="705">
        <f t="shared" si="44"/>
        <v>0</v>
      </c>
      <c r="AF91" s="705">
        <f t="shared" si="45"/>
        <v>0</v>
      </c>
      <c r="AG91" s="705">
        <f t="shared" si="46"/>
        <v>0</v>
      </c>
      <c r="AH91" s="706">
        <f t="shared" si="47"/>
        <v>0</v>
      </c>
      <c r="AI91" s="648"/>
      <c r="AJ91" s="705">
        <f t="shared" si="48"/>
        <v>0</v>
      </c>
      <c r="AK91" s="705">
        <f t="shared" si="49"/>
        <v>0</v>
      </c>
      <c r="AL91" s="722">
        <f t="shared" si="50"/>
        <v>0</v>
      </c>
      <c r="AM91" s="720">
        <v>21</v>
      </c>
      <c r="AN91" s="650">
        <v>17</v>
      </c>
      <c r="AO91" s="650">
        <v>27</v>
      </c>
      <c r="AQ91" s="723" t="s">
        <v>107</v>
      </c>
      <c r="AR91" s="743"/>
      <c r="AS91" s="744"/>
      <c r="AT91" s="744"/>
      <c r="AU91" s="744"/>
    </row>
    <row r="92" spans="1:47" ht="13.5">
      <c r="A92" s="651"/>
      <c r="B92" s="1284">
        <v>0.12</v>
      </c>
      <c r="C92" s="721" t="s">
        <v>811</v>
      </c>
      <c r="D92" s="708" t="s">
        <v>757</v>
      </c>
      <c r="E92" s="847"/>
      <c r="F92" s="847"/>
      <c r="G92" s="980">
        <f t="shared" si="28"/>
        <v>0</v>
      </c>
      <c r="H92" s="694">
        <f t="shared" si="51"/>
        <v>0</v>
      </c>
      <c r="I92" s="698">
        <v>9.7</v>
      </c>
      <c r="J92" s="697">
        <v>0.95</v>
      </c>
      <c r="K92" s="697">
        <v>0.01</v>
      </c>
      <c r="L92" s="711">
        <v>10.9</v>
      </c>
      <c r="M92" s="710">
        <v>0.9</v>
      </c>
      <c r="N92" s="701">
        <v>140</v>
      </c>
      <c r="O92" s="701">
        <v>170</v>
      </c>
      <c r="P92" s="701">
        <v>0.06</v>
      </c>
      <c r="Q92" s="701">
        <v>0.03</v>
      </c>
      <c r="R92" s="701">
        <v>0.22</v>
      </c>
      <c r="S92" s="702">
        <v>0</v>
      </c>
      <c r="T92" s="651"/>
      <c r="U92" s="968">
        <f t="shared" si="36"/>
        <v>8.499999999999986</v>
      </c>
      <c r="V92" s="970">
        <f t="shared" si="52"/>
        <v>240.97074999999958</v>
      </c>
      <c r="W92" s="651"/>
      <c r="X92" s="703">
        <f t="shared" si="37"/>
        <v>0</v>
      </c>
      <c r="Y92" s="704">
        <f t="shared" si="38"/>
        <v>0</v>
      </c>
      <c r="Z92" s="704">
        <f t="shared" si="39"/>
        <v>0</v>
      </c>
      <c r="AA92" s="704">
        <f t="shared" si="40"/>
        <v>0</v>
      </c>
      <c r="AB92" s="704">
        <f t="shared" si="41"/>
        <v>0</v>
      </c>
      <c r="AC92" s="705">
        <f t="shared" si="42"/>
        <v>0</v>
      </c>
      <c r="AD92" s="705">
        <f t="shared" si="43"/>
        <v>0</v>
      </c>
      <c r="AE92" s="705">
        <f t="shared" si="44"/>
        <v>0</v>
      </c>
      <c r="AF92" s="705">
        <f t="shared" si="45"/>
        <v>0</v>
      </c>
      <c r="AG92" s="705">
        <f t="shared" si="46"/>
        <v>0</v>
      </c>
      <c r="AH92" s="706">
        <f t="shared" si="47"/>
        <v>0</v>
      </c>
      <c r="AI92" s="648"/>
      <c r="AJ92" s="705">
        <f t="shared" si="48"/>
        <v>0</v>
      </c>
      <c r="AK92" s="705">
        <f t="shared" si="49"/>
        <v>0</v>
      </c>
      <c r="AL92" s="722">
        <f t="shared" si="50"/>
        <v>0</v>
      </c>
      <c r="AM92" s="720">
        <v>40</v>
      </c>
      <c r="AN92" s="650">
        <v>10</v>
      </c>
      <c r="AO92" s="650">
        <v>17</v>
      </c>
      <c r="AQ92" s="723" t="s">
        <v>777</v>
      </c>
      <c r="AR92" s="743"/>
      <c r="AS92" s="744"/>
      <c r="AT92" s="744"/>
      <c r="AU92" s="744"/>
    </row>
    <row r="93" spans="1:47" ht="13.5">
      <c r="A93" s="651"/>
      <c r="B93" s="1284">
        <v>0</v>
      </c>
      <c r="C93" s="721"/>
      <c r="D93" s="708" t="s">
        <v>772</v>
      </c>
      <c r="E93" s="847"/>
      <c r="F93" s="847"/>
      <c r="G93" s="980">
        <f>453.6*(E93+F93/16)</f>
        <v>0</v>
      </c>
      <c r="H93" s="694">
        <f t="shared" si="51"/>
        <v>0</v>
      </c>
      <c r="I93" s="698">
        <v>12</v>
      </c>
      <c r="J93" s="698">
        <v>1.3</v>
      </c>
      <c r="K93" s="697">
        <v>0.01</v>
      </c>
      <c r="L93" s="711">
        <v>13</v>
      </c>
      <c r="M93" s="710">
        <v>0.2</v>
      </c>
      <c r="N93" s="701">
        <v>140</v>
      </c>
      <c r="O93" s="701">
        <v>170</v>
      </c>
      <c r="P93" s="701">
        <v>0.06</v>
      </c>
      <c r="Q93" s="701">
        <v>0.1</v>
      </c>
      <c r="R93" s="701">
        <v>0.125</v>
      </c>
      <c r="S93" s="702">
        <v>0.042</v>
      </c>
      <c r="T93" s="651"/>
      <c r="U93" s="968">
        <f t="shared" si="36"/>
        <v>8.599999999999985</v>
      </c>
      <c r="V93" s="970">
        <f t="shared" si="52"/>
        <v>243.80569999999958</v>
      </c>
      <c r="W93" s="651"/>
      <c r="X93" s="703">
        <f t="shared" si="37"/>
        <v>0</v>
      </c>
      <c r="Y93" s="704">
        <f t="shared" si="38"/>
        <v>0</v>
      </c>
      <c r="Z93" s="704">
        <f t="shared" si="39"/>
        <v>0</v>
      </c>
      <c r="AA93" s="704">
        <f t="shared" si="40"/>
        <v>0</v>
      </c>
      <c r="AB93" s="704">
        <f t="shared" si="41"/>
        <v>0</v>
      </c>
      <c r="AC93" s="705">
        <f t="shared" si="42"/>
        <v>0</v>
      </c>
      <c r="AD93" s="705">
        <f t="shared" si="43"/>
        <v>0</v>
      </c>
      <c r="AE93" s="705">
        <f t="shared" si="44"/>
        <v>0</v>
      </c>
      <c r="AF93" s="705">
        <f t="shared" si="45"/>
        <v>0</v>
      </c>
      <c r="AG93" s="705">
        <f t="shared" si="46"/>
        <v>0</v>
      </c>
      <c r="AH93" s="706">
        <f t="shared" si="47"/>
        <v>0</v>
      </c>
      <c r="AI93" s="648"/>
      <c r="AJ93" s="705">
        <f t="shared" si="48"/>
        <v>0</v>
      </c>
      <c r="AK93" s="705">
        <f t="shared" si="49"/>
        <v>0</v>
      </c>
      <c r="AL93" s="722">
        <f t="shared" si="50"/>
        <v>0</v>
      </c>
      <c r="AM93" s="720">
        <v>18</v>
      </c>
      <c r="AN93" s="650">
        <v>8</v>
      </c>
      <c r="AO93" s="650">
        <v>14</v>
      </c>
      <c r="AQ93" s="723" t="s">
        <v>107</v>
      </c>
      <c r="AR93" s="743"/>
      <c r="AS93" s="744"/>
      <c r="AT93" s="744"/>
      <c r="AU93" s="744"/>
    </row>
    <row r="94" spans="1:47" ht="13.5">
      <c r="A94" s="651"/>
      <c r="B94" s="1284">
        <v>0.04</v>
      </c>
      <c r="C94" s="721" t="s">
        <v>812</v>
      </c>
      <c r="D94" s="708"/>
      <c r="E94" s="847"/>
      <c r="F94" s="847"/>
      <c r="G94" s="980">
        <f>453.6*(E94+F94/16)</f>
        <v>0</v>
      </c>
      <c r="H94" s="694">
        <f t="shared" si="51"/>
        <v>0</v>
      </c>
      <c r="I94" s="698">
        <v>6.2</v>
      </c>
      <c r="J94" s="698">
        <v>0.2</v>
      </c>
      <c r="K94" s="697">
        <v>0.1</v>
      </c>
      <c r="L94" s="709">
        <v>7.6</v>
      </c>
      <c r="M94" s="710">
        <v>0.5</v>
      </c>
      <c r="N94" s="700">
        <v>140</v>
      </c>
      <c r="O94" s="701">
        <v>110</v>
      </c>
      <c r="P94" s="701">
        <v>0.033</v>
      </c>
      <c r="Q94" s="701">
        <v>0.178</v>
      </c>
      <c r="R94" s="701">
        <v>0.221</v>
      </c>
      <c r="S94" s="702">
        <v>0.045</v>
      </c>
      <c r="T94" s="651"/>
      <c r="U94" s="968">
        <f aca="true" t="shared" si="53" ref="U94:U144">U93+0.1</f>
        <v>8.699999999999985</v>
      </c>
      <c r="V94" s="970">
        <f t="shared" si="52"/>
        <v>246.64064999999957</v>
      </c>
      <c r="W94" s="651"/>
      <c r="X94" s="703">
        <f t="shared" si="37"/>
        <v>0</v>
      </c>
      <c r="Y94" s="704">
        <f t="shared" si="38"/>
        <v>0</v>
      </c>
      <c r="Z94" s="704">
        <f t="shared" si="39"/>
        <v>0</v>
      </c>
      <c r="AA94" s="704">
        <f t="shared" si="40"/>
        <v>0</v>
      </c>
      <c r="AB94" s="704">
        <f t="shared" si="41"/>
        <v>0</v>
      </c>
      <c r="AC94" s="705">
        <f t="shared" si="42"/>
        <v>0</v>
      </c>
      <c r="AD94" s="705">
        <f t="shared" si="43"/>
        <v>0</v>
      </c>
      <c r="AE94" s="705">
        <f t="shared" si="44"/>
        <v>0</v>
      </c>
      <c r="AF94" s="705">
        <f t="shared" si="45"/>
        <v>0</v>
      </c>
      <c r="AG94" s="705">
        <f t="shared" si="46"/>
        <v>0</v>
      </c>
      <c r="AH94" s="706">
        <f t="shared" si="47"/>
        <v>0</v>
      </c>
      <c r="AI94" s="648"/>
      <c r="AJ94" s="705">
        <f t="shared" si="48"/>
        <v>0</v>
      </c>
      <c r="AK94" s="705">
        <f t="shared" si="49"/>
        <v>0</v>
      </c>
      <c r="AL94" s="722">
        <f t="shared" si="50"/>
        <v>0</v>
      </c>
      <c r="AM94" s="720">
        <v>7</v>
      </c>
      <c r="AN94" s="650">
        <v>0</v>
      </c>
      <c r="AO94" s="650">
        <v>11</v>
      </c>
      <c r="AQ94" s="723"/>
      <c r="AR94" s="743"/>
      <c r="AS94" s="744"/>
      <c r="AT94" s="744"/>
      <c r="AU94" s="744"/>
    </row>
    <row r="95" spans="1:47" ht="13.5">
      <c r="A95" s="651"/>
      <c r="B95" s="1952">
        <v>0.17</v>
      </c>
      <c r="C95" s="1964" t="s">
        <v>813</v>
      </c>
      <c r="D95" s="1953"/>
      <c r="E95" s="1943"/>
      <c r="F95" s="1943"/>
      <c r="G95" s="1944">
        <f>453.6*(E95+F95/16)</f>
        <v>0</v>
      </c>
      <c r="H95" s="694">
        <f>B95*G95</f>
        <v>0</v>
      </c>
      <c r="I95" s="1947">
        <v>7.37</v>
      </c>
      <c r="J95" s="1946">
        <v>2.2</v>
      </c>
      <c r="K95" s="1946">
        <v>0.1</v>
      </c>
      <c r="L95" s="709">
        <v>13.8</v>
      </c>
      <c r="M95" s="1948">
        <v>0.6</v>
      </c>
      <c r="N95" s="1950">
        <v>200</v>
      </c>
      <c r="O95" s="1950">
        <v>270</v>
      </c>
      <c r="P95" s="1950">
        <v>0.04</v>
      </c>
      <c r="Q95" s="1950">
        <v>0.1</v>
      </c>
      <c r="R95" s="1950">
        <v>0.064</v>
      </c>
      <c r="S95" s="1951">
        <v>0.07</v>
      </c>
      <c r="T95" s="1931"/>
      <c r="U95" s="1967">
        <f t="shared" si="53"/>
        <v>8.799999999999985</v>
      </c>
      <c r="V95" s="970">
        <f>U95*28.3495</f>
        <v>249.47559999999956</v>
      </c>
      <c r="W95" s="651"/>
      <c r="X95" s="703">
        <f t="shared" si="37"/>
        <v>0</v>
      </c>
      <c r="Y95" s="704">
        <f t="shared" si="38"/>
        <v>0</v>
      </c>
      <c r="Z95" s="704">
        <f t="shared" si="39"/>
        <v>0</v>
      </c>
      <c r="AA95" s="704">
        <f t="shared" si="40"/>
        <v>0</v>
      </c>
      <c r="AB95" s="704">
        <f t="shared" si="41"/>
        <v>0</v>
      </c>
      <c r="AC95" s="705">
        <f t="shared" si="42"/>
        <v>0</v>
      </c>
      <c r="AD95" s="705">
        <f t="shared" si="43"/>
        <v>0</v>
      </c>
      <c r="AE95" s="705">
        <f t="shared" si="44"/>
        <v>0</v>
      </c>
      <c r="AF95" s="705">
        <f t="shared" si="45"/>
        <v>0</v>
      </c>
      <c r="AG95" s="705">
        <f t="shared" si="46"/>
        <v>0</v>
      </c>
      <c r="AH95" s="706">
        <f t="shared" si="47"/>
        <v>0</v>
      </c>
      <c r="AI95" s="648"/>
      <c r="AJ95" s="705">
        <f t="shared" si="48"/>
        <v>0</v>
      </c>
      <c r="AK95" s="705">
        <f t="shared" si="49"/>
        <v>0</v>
      </c>
      <c r="AL95" s="722">
        <f t="shared" si="50"/>
        <v>0</v>
      </c>
      <c r="AM95" s="720">
        <v>33</v>
      </c>
      <c r="AN95" s="650">
        <v>13</v>
      </c>
      <c r="AO95" s="650">
        <v>44</v>
      </c>
      <c r="AQ95" s="723"/>
      <c r="AR95" s="743"/>
      <c r="AS95" s="744"/>
      <c r="AT95" s="744"/>
      <c r="AU95" s="744"/>
    </row>
    <row r="96" spans="1:47" ht="13.5">
      <c r="A96" s="651"/>
      <c r="B96" s="1952"/>
      <c r="C96" s="1964" t="s">
        <v>305</v>
      </c>
      <c r="D96" s="1953"/>
      <c r="E96" s="1943"/>
      <c r="F96" s="1943"/>
      <c r="G96" s="1944">
        <f>453.6*(E96+F96/16)</f>
        <v>0</v>
      </c>
      <c r="H96" s="694">
        <f>B96*G96</f>
        <v>0</v>
      </c>
      <c r="I96" s="1945"/>
      <c r="J96" s="1945"/>
      <c r="K96" s="1945"/>
      <c r="L96" s="709"/>
      <c r="M96" s="1968"/>
      <c r="N96" s="1969"/>
      <c r="O96" s="1969"/>
      <c r="P96" s="1969"/>
      <c r="Q96" s="1969"/>
      <c r="R96" s="1969"/>
      <c r="S96" s="1970"/>
      <c r="T96" s="1931"/>
      <c r="U96" s="1967">
        <f t="shared" si="53"/>
        <v>8.899999999999984</v>
      </c>
      <c r="V96" s="970">
        <f t="shared" si="52"/>
        <v>252.31054999999955</v>
      </c>
      <c r="W96" s="651"/>
      <c r="X96" s="703">
        <f t="shared" si="37"/>
        <v>0</v>
      </c>
      <c r="Y96" s="704">
        <f t="shared" si="38"/>
        <v>0</v>
      </c>
      <c r="Z96" s="704">
        <f t="shared" si="39"/>
        <v>0</v>
      </c>
      <c r="AA96" s="704">
        <f t="shared" si="40"/>
        <v>0</v>
      </c>
      <c r="AB96" s="704">
        <f t="shared" si="41"/>
        <v>0</v>
      </c>
      <c r="AC96" s="705">
        <f t="shared" si="42"/>
        <v>0</v>
      </c>
      <c r="AD96" s="705">
        <f t="shared" si="43"/>
        <v>0</v>
      </c>
      <c r="AE96" s="705">
        <f t="shared" si="44"/>
        <v>0</v>
      </c>
      <c r="AF96" s="705">
        <f t="shared" si="45"/>
        <v>0</v>
      </c>
      <c r="AG96" s="705">
        <f t="shared" si="46"/>
        <v>0</v>
      </c>
      <c r="AH96" s="706">
        <f t="shared" si="47"/>
        <v>0</v>
      </c>
      <c r="AI96" s="648"/>
      <c r="AJ96" s="705">
        <f t="shared" si="48"/>
        <v>0</v>
      </c>
      <c r="AK96" s="705">
        <f t="shared" si="49"/>
        <v>0</v>
      </c>
      <c r="AL96" s="722">
        <f t="shared" si="50"/>
        <v>0</v>
      </c>
      <c r="AM96" s="720"/>
      <c r="AQ96" s="740"/>
      <c r="AR96" s="743"/>
      <c r="AS96" s="744"/>
      <c r="AT96" s="744"/>
      <c r="AU96" s="744"/>
    </row>
    <row r="97" spans="1:47" ht="13.5">
      <c r="A97" s="641"/>
      <c r="B97" s="1958"/>
      <c r="C97" s="1971"/>
      <c r="D97" s="1270"/>
      <c r="E97" s="1270"/>
      <c r="F97" s="1270"/>
      <c r="G97" s="1270"/>
      <c r="H97" s="1270"/>
      <c r="I97" s="1971"/>
      <c r="J97" s="1270"/>
      <c r="K97" s="1270"/>
      <c r="L97" s="1270"/>
      <c r="M97" s="1270"/>
      <c r="N97" s="1270"/>
      <c r="O97" s="1972"/>
      <c r="P97" s="1972"/>
      <c r="Q97" s="1972"/>
      <c r="R97" s="1972"/>
      <c r="S97" s="1973"/>
      <c r="T97" s="902"/>
      <c r="U97" s="1967">
        <f t="shared" si="53"/>
        <v>8.999999999999984</v>
      </c>
      <c r="V97" s="970">
        <f t="shared" si="52"/>
        <v>255.14549999999954</v>
      </c>
      <c r="W97" s="641"/>
      <c r="X97" s="746"/>
      <c r="Y97" s="704"/>
      <c r="Z97" s="704"/>
      <c r="AA97" s="704"/>
      <c r="AB97" s="705"/>
      <c r="AC97" s="705"/>
      <c r="AD97" s="747"/>
      <c r="AE97" s="748"/>
      <c r="AF97" s="748"/>
      <c r="AG97" s="749"/>
      <c r="AH97" s="750"/>
      <c r="AI97" s="646"/>
      <c r="AJ97" s="649" t="s">
        <v>429</v>
      </c>
      <c r="AK97" s="649" t="s">
        <v>429</v>
      </c>
      <c r="AL97" s="649" t="s">
        <v>429</v>
      </c>
      <c r="AM97" s="649" t="s">
        <v>429</v>
      </c>
      <c r="AN97" s="649" t="s">
        <v>429</v>
      </c>
      <c r="AO97" s="649" t="s">
        <v>429</v>
      </c>
      <c r="AP97" s="649" t="s">
        <v>429</v>
      </c>
      <c r="AQ97" s="740"/>
      <c r="AR97" s="743"/>
      <c r="AS97" s="744"/>
      <c r="AT97" s="744"/>
      <c r="AU97" s="744"/>
    </row>
    <row r="98" spans="1:47" ht="13.5">
      <c r="A98" s="641"/>
      <c r="B98" s="1958"/>
      <c r="C98" s="2952" t="s">
        <v>207</v>
      </c>
      <c r="D98" s="2953"/>
      <c r="E98" s="2953"/>
      <c r="F98" s="2953"/>
      <c r="G98" s="2954"/>
      <c r="H98" s="1959"/>
      <c r="I98" s="2958" t="s">
        <v>586</v>
      </c>
      <c r="J98" s="2958"/>
      <c r="K98" s="2955" t="s">
        <v>1613</v>
      </c>
      <c r="L98" s="2955"/>
      <c r="M98" s="1293">
        <v>122</v>
      </c>
      <c r="N98" s="1287"/>
      <c r="O98" s="1285"/>
      <c r="P98" s="1974"/>
      <c r="Q98" s="1975"/>
      <c r="R98" s="1975"/>
      <c r="S98" s="1973"/>
      <c r="T98" s="1976"/>
      <c r="U98" s="1967">
        <f>U97+0.1</f>
        <v>9.099999999999984</v>
      </c>
      <c r="V98" s="970">
        <f t="shared" si="52"/>
        <v>257.9804499999995</v>
      </c>
      <c r="W98" s="641"/>
      <c r="X98" s="746"/>
      <c r="Y98" s="704"/>
      <c r="Z98" s="704"/>
      <c r="AA98" s="704"/>
      <c r="AB98" s="705"/>
      <c r="AC98" s="705"/>
      <c r="AD98" s="747"/>
      <c r="AE98" s="748"/>
      <c r="AF98" s="748"/>
      <c r="AG98" s="749"/>
      <c r="AH98" s="750"/>
      <c r="AI98" s="646"/>
      <c r="AJ98" s="649"/>
      <c r="AK98" s="649"/>
      <c r="AL98" s="649"/>
      <c r="AM98" s="649"/>
      <c r="AN98" s="649"/>
      <c r="AO98" s="649"/>
      <c r="AP98" s="649"/>
      <c r="AQ98" s="740"/>
      <c r="AR98" s="743"/>
      <c r="AS98" s="744"/>
      <c r="AT98" s="744"/>
      <c r="AU98" s="744"/>
    </row>
    <row r="99" spans="1:47" ht="13.5">
      <c r="A99" s="641"/>
      <c r="B99" s="1958"/>
      <c r="C99" s="1977"/>
      <c r="D99" s="1959"/>
      <c r="E99" s="1978"/>
      <c r="F99" s="1978"/>
      <c r="G99" s="1979"/>
      <c r="H99" s="1959"/>
      <c r="I99" s="1972"/>
      <c r="J99" s="1972"/>
      <c r="K99" s="2955" t="s">
        <v>1612</v>
      </c>
      <c r="L99" s="2955"/>
      <c r="M99" s="1293">
        <v>15</v>
      </c>
      <c r="N99" s="1288" t="str">
        <f>FIXED(100*M99/M98,0)&amp;"g/100g"</f>
        <v>12g/100g</v>
      </c>
      <c r="O99" s="1285"/>
      <c r="P99" s="1758"/>
      <c r="Q99" s="1759"/>
      <c r="R99" s="1759"/>
      <c r="S99" s="1973"/>
      <c r="T99" s="1760"/>
      <c r="U99" s="1967">
        <f>U98+0.1</f>
        <v>9.199999999999983</v>
      </c>
      <c r="V99" s="970">
        <f t="shared" si="52"/>
        <v>260.8153999999995</v>
      </c>
      <c r="W99" s="641"/>
      <c r="X99" s="746"/>
      <c r="Y99" s="704"/>
      <c r="Z99" s="704"/>
      <c r="AA99" s="704"/>
      <c r="AB99" s="705"/>
      <c r="AC99" s="705"/>
      <c r="AD99" s="747"/>
      <c r="AE99" s="748"/>
      <c r="AF99" s="748"/>
      <c r="AG99" s="749"/>
      <c r="AH99" s="750"/>
      <c r="AI99" s="646"/>
      <c r="AJ99" s="649"/>
      <c r="AK99" s="649"/>
      <c r="AL99" s="649"/>
      <c r="AM99" s="649"/>
      <c r="AN99" s="649"/>
      <c r="AO99" s="649"/>
      <c r="AP99" s="649"/>
      <c r="AQ99" s="740"/>
      <c r="AR99" s="743"/>
      <c r="AS99" s="744"/>
      <c r="AT99" s="744"/>
      <c r="AU99" s="744"/>
    </row>
    <row r="100" spans="1:47" ht="13.5">
      <c r="A100" s="641"/>
      <c r="B100" s="1958"/>
      <c r="C100" s="1977"/>
      <c r="D100" s="1959"/>
      <c r="E100" s="1978"/>
      <c r="F100" s="1978"/>
      <c r="G100" s="1979"/>
      <c r="H100" s="1959"/>
      <c r="I100" s="1972"/>
      <c r="J100" s="1972"/>
      <c r="K100" s="2955" t="s">
        <v>1611</v>
      </c>
      <c r="L100" s="2955"/>
      <c r="M100" s="1293">
        <v>16</v>
      </c>
      <c r="N100" s="1288" t="str">
        <f>FIXED(100*M100/M98,0)&amp;"g/100g"</f>
        <v>13g/100g</v>
      </c>
      <c r="O100" s="1975"/>
      <c r="P100" s="1761"/>
      <c r="Q100" s="1762"/>
      <c r="R100" s="1762"/>
      <c r="S100" s="1973"/>
      <c r="T100" s="1763"/>
      <c r="U100" s="1967">
        <f>U99+0.1</f>
        <v>9.299999999999983</v>
      </c>
      <c r="V100" s="970">
        <f t="shared" si="52"/>
        <v>263.6503499999995</v>
      </c>
      <c r="W100" s="641"/>
      <c r="X100" s="746"/>
      <c r="Y100" s="704"/>
      <c r="Z100" s="704"/>
      <c r="AA100" s="704"/>
      <c r="AB100" s="705"/>
      <c r="AC100" s="705"/>
      <c r="AD100" s="747"/>
      <c r="AE100" s="748"/>
      <c r="AF100" s="748"/>
      <c r="AG100" s="749"/>
      <c r="AH100" s="750"/>
      <c r="AI100" s="646"/>
      <c r="AJ100" s="649"/>
      <c r="AK100" s="649"/>
      <c r="AL100" s="649"/>
      <c r="AM100" s="649"/>
      <c r="AN100" s="649"/>
      <c r="AO100" s="649"/>
      <c r="AP100" s="649"/>
      <c r="AQ100" s="740"/>
      <c r="AR100" s="743"/>
      <c r="AS100" s="744"/>
      <c r="AT100" s="744"/>
      <c r="AU100" s="744"/>
    </row>
    <row r="101" spans="1:47" ht="13.5">
      <c r="A101" s="641"/>
      <c r="B101" s="1960" t="s">
        <v>700</v>
      </c>
      <c r="C101" s="1977"/>
      <c r="D101" s="1978" t="s">
        <v>814</v>
      </c>
      <c r="E101" s="2956" t="s">
        <v>285</v>
      </c>
      <c r="F101" s="2956"/>
      <c r="G101" s="951" t="s">
        <v>285</v>
      </c>
      <c r="H101" s="1978"/>
      <c r="I101" s="688" t="s">
        <v>702</v>
      </c>
      <c r="J101" s="716" t="s">
        <v>286</v>
      </c>
      <c r="K101" s="716" t="s">
        <v>703</v>
      </c>
      <c r="L101" s="716" t="s">
        <v>704</v>
      </c>
      <c r="M101" s="716" t="s">
        <v>705</v>
      </c>
      <c r="N101" s="689" t="s">
        <v>706</v>
      </c>
      <c r="O101" s="688" t="s">
        <v>707</v>
      </c>
      <c r="P101" s="690" t="s">
        <v>708</v>
      </c>
      <c r="Q101" s="690" t="s">
        <v>709</v>
      </c>
      <c r="R101" s="690" t="s">
        <v>710</v>
      </c>
      <c r="S101" s="717" t="s">
        <v>711</v>
      </c>
      <c r="T101" s="902"/>
      <c r="U101" s="1967">
        <f>U100+0.1</f>
        <v>9.399999999999983</v>
      </c>
      <c r="V101" s="970">
        <f t="shared" si="52"/>
        <v>266.4852999999995</v>
      </c>
      <c r="W101" s="641"/>
      <c r="X101" s="691" t="s">
        <v>702</v>
      </c>
      <c r="Y101" s="716" t="s">
        <v>286</v>
      </c>
      <c r="Z101" s="716" t="s">
        <v>703</v>
      </c>
      <c r="AA101" s="716" t="s">
        <v>704</v>
      </c>
      <c r="AB101" s="716" t="s">
        <v>705</v>
      </c>
      <c r="AC101" s="688" t="s">
        <v>712</v>
      </c>
      <c r="AD101" s="688" t="s">
        <v>713</v>
      </c>
      <c r="AE101" s="690" t="s">
        <v>708</v>
      </c>
      <c r="AF101" s="690" t="s">
        <v>709</v>
      </c>
      <c r="AG101" s="690" t="s">
        <v>710</v>
      </c>
      <c r="AH101" s="717" t="s">
        <v>711</v>
      </c>
      <c r="AI101" s="646"/>
      <c r="AJ101" s="688" t="s">
        <v>714</v>
      </c>
      <c r="AK101" s="688" t="s">
        <v>715</v>
      </c>
      <c r="AL101" s="689" t="s">
        <v>716</v>
      </c>
      <c r="AQ101" s="719" t="s">
        <v>727</v>
      </c>
      <c r="AR101" s="743"/>
      <c r="AS101" s="744"/>
      <c r="AT101" s="744"/>
      <c r="AU101" s="744"/>
    </row>
    <row r="102" spans="1:47" ht="13.5">
      <c r="A102" s="641"/>
      <c r="B102" s="1283" t="s">
        <v>729</v>
      </c>
      <c r="C102" s="1289" t="s">
        <v>815</v>
      </c>
      <c r="D102" s="686"/>
      <c r="E102" s="950" t="s">
        <v>531</v>
      </c>
      <c r="F102" s="950" t="s">
        <v>105</v>
      </c>
      <c r="G102" s="951" t="s">
        <v>290</v>
      </c>
      <c r="H102" s="687"/>
      <c r="I102" s="752" t="s">
        <v>816</v>
      </c>
      <c r="J102" s="688" t="s">
        <v>291</v>
      </c>
      <c r="K102" s="688" t="s">
        <v>291</v>
      </c>
      <c r="L102" s="688" t="s">
        <v>291</v>
      </c>
      <c r="M102" s="689" t="s">
        <v>291</v>
      </c>
      <c r="N102" s="2967" t="s">
        <v>698</v>
      </c>
      <c r="O102" s="2968"/>
      <c r="P102" s="2968"/>
      <c r="Q102" s="2968"/>
      <c r="R102" s="2968"/>
      <c r="S102" s="2969"/>
      <c r="T102" s="902"/>
      <c r="U102" s="1967">
        <f t="shared" si="53"/>
        <v>9.499999999999982</v>
      </c>
      <c r="V102" s="970">
        <f t="shared" si="52"/>
        <v>269.3202499999995</v>
      </c>
      <c r="W102" s="641"/>
      <c r="X102" s="691" t="s">
        <v>290</v>
      </c>
      <c r="Y102" s="688" t="s">
        <v>290</v>
      </c>
      <c r="Z102" s="688" t="s">
        <v>290</v>
      </c>
      <c r="AA102" s="688" t="s">
        <v>290</v>
      </c>
      <c r="AB102" s="688" t="s">
        <v>290</v>
      </c>
      <c r="AC102" s="688" t="s">
        <v>290</v>
      </c>
      <c r="AD102" s="688" t="s">
        <v>290</v>
      </c>
      <c r="AE102" s="688" t="s">
        <v>290</v>
      </c>
      <c r="AF102" s="688" t="s">
        <v>290</v>
      </c>
      <c r="AG102" s="688" t="s">
        <v>290</v>
      </c>
      <c r="AH102" s="692" t="s">
        <v>290</v>
      </c>
      <c r="AI102" s="646"/>
      <c r="AJ102" s="688" t="s">
        <v>290</v>
      </c>
      <c r="AK102" s="688" t="s">
        <v>290</v>
      </c>
      <c r="AL102" s="689" t="s">
        <v>290</v>
      </c>
      <c r="AM102" s="684" t="s">
        <v>714</v>
      </c>
      <c r="AN102" s="684" t="s">
        <v>715</v>
      </c>
      <c r="AO102" s="684" t="s">
        <v>717</v>
      </c>
      <c r="AQ102" s="719" t="s">
        <v>745</v>
      </c>
      <c r="AR102" s="743"/>
      <c r="AS102" s="744"/>
      <c r="AT102" s="744"/>
      <c r="AU102" s="744"/>
    </row>
    <row r="103" spans="1:47" ht="13.5">
      <c r="A103" s="651"/>
      <c r="B103" s="1952">
        <v>0.18</v>
      </c>
      <c r="C103" s="1964" t="s">
        <v>817</v>
      </c>
      <c r="D103" s="694"/>
      <c r="E103" s="1943"/>
      <c r="F103" s="1943"/>
      <c r="G103" s="1944">
        <f>453.6*(E103+F103/16)</f>
        <v>0</v>
      </c>
      <c r="H103" s="694">
        <f aca="true" t="shared" si="54" ref="H103:H122">B103*G103</f>
        <v>0</v>
      </c>
      <c r="I103" s="1945">
        <v>12</v>
      </c>
      <c r="J103" s="1945">
        <v>0.5</v>
      </c>
      <c r="K103" s="1946">
        <v>0.05</v>
      </c>
      <c r="L103" s="753">
        <f aca="true" t="shared" si="55" ref="L103:L113">I103*1.1</f>
        <v>13.200000000000001</v>
      </c>
      <c r="M103" s="1954">
        <v>0.2</v>
      </c>
      <c r="N103" s="1949">
        <v>100</v>
      </c>
      <c r="O103" s="1950">
        <v>138</v>
      </c>
      <c r="P103" s="1950">
        <v>0.02</v>
      </c>
      <c r="Q103" s="1950">
        <v>0.3</v>
      </c>
      <c r="R103" s="1950">
        <v>0.096</v>
      </c>
      <c r="S103" s="1951">
        <v>0.05</v>
      </c>
      <c r="T103" s="1931"/>
      <c r="U103" s="1967">
        <f t="shared" si="53"/>
        <v>9.599999999999982</v>
      </c>
      <c r="V103" s="970">
        <f t="shared" si="52"/>
        <v>272.15519999999947</v>
      </c>
      <c r="W103" s="651"/>
      <c r="X103" s="703">
        <f aca="true" t="shared" si="56" ref="X103:X122">G103*I103/100</f>
        <v>0</v>
      </c>
      <c r="Y103" s="704">
        <f aca="true" t="shared" si="57" ref="Y103:Y122">G103*J103/100</f>
        <v>0</v>
      </c>
      <c r="Z103" s="704">
        <f aca="true" t="shared" si="58" ref="Z103:Z122">G103*K103/100</f>
        <v>0</v>
      </c>
      <c r="AA103" s="704">
        <f aca="true" t="shared" si="59" ref="AA103:AA122">G103*(L103-I103)/100</f>
        <v>0</v>
      </c>
      <c r="AB103" s="704">
        <f aca="true" t="shared" si="60" ref="AB103:AB122">G103*M103/1200</f>
        <v>0</v>
      </c>
      <c r="AC103" s="705">
        <f aca="true" t="shared" si="61" ref="AC103:AC122">$G103*N103/100</f>
        <v>0</v>
      </c>
      <c r="AD103" s="705">
        <f aca="true" t="shared" si="62" ref="AD103:AD122">$G103*O103/100</f>
        <v>0</v>
      </c>
      <c r="AE103" s="705">
        <f aca="true" t="shared" si="63" ref="AE103:AE122">$G103*P103/100</f>
        <v>0</v>
      </c>
      <c r="AF103" s="705">
        <f aca="true" t="shared" si="64" ref="AF103:AF122">$G103*Q103/100</f>
        <v>0</v>
      </c>
      <c r="AG103" s="705">
        <f aca="true" t="shared" si="65" ref="AG103:AG122">$G103*R103/100</f>
        <v>0</v>
      </c>
      <c r="AH103" s="706">
        <f aca="true" t="shared" si="66" ref="AH103:AH122">$G103*S103/100</f>
        <v>0</v>
      </c>
      <c r="AI103" s="648"/>
      <c r="AJ103" s="705">
        <f aca="true" t="shared" si="67" ref="AJ103:AJ122">$G103*AM103/100</f>
        <v>0</v>
      </c>
      <c r="AK103" s="705">
        <f aca="true" t="shared" si="68" ref="AK103:AK122">$G103*AN103/100</f>
        <v>0</v>
      </c>
      <c r="AL103" s="722">
        <f aca="true" t="shared" si="69" ref="AL103:AL122">$G103*AO103/100</f>
        <v>0</v>
      </c>
      <c r="AM103" s="720">
        <v>11</v>
      </c>
      <c r="AN103" s="650">
        <v>8</v>
      </c>
      <c r="AO103" s="650">
        <v>13</v>
      </c>
      <c r="AQ103" s="754" t="s">
        <v>748</v>
      </c>
      <c r="AR103" s="743"/>
      <c r="AS103" s="744"/>
      <c r="AT103" s="744"/>
      <c r="AU103" s="744"/>
    </row>
    <row r="104" spans="1:47" ht="13.5">
      <c r="A104" s="651"/>
      <c r="B104" s="1952">
        <v>0.15</v>
      </c>
      <c r="C104" s="1964" t="s">
        <v>765</v>
      </c>
      <c r="D104" s="694"/>
      <c r="E104" s="1943"/>
      <c r="F104" s="1943"/>
      <c r="G104" s="1944">
        <f aca="true" t="shared" si="70" ref="G104:G122">453.6*(E104+F104/16)</f>
        <v>0</v>
      </c>
      <c r="H104" s="694">
        <f t="shared" si="54"/>
        <v>0</v>
      </c>
      <c r="I104" s="1945">
        <v>12</v>
      </c>
      <c r="J104" s="1946">
        <v>0.25</v>
      </c>
      <c r="K104" s="1946">
        <v>0.05</v>
      </c>
      <c r="L104" s="753">
        <f t="shared" si="55"/>
        <v>13.200000000000001</v>
      </c>
      <c r="M104" s="1954">
        <v>0.2</v>
      </c>
      <c r="N104" s="1949">
        <v>100</v>
      </c>
      <c r="O104" s="1950">
        <v>95</v>
      </c>
      <c r="P104" s="1950">
        <v>0.02</v>
      </c>
      <c r="Q104" s="1950">
        <v>0.17</v>
      </c>
      <c r="R104" s="1950"/>
      <c r="S104" s="1951">
        <v>0.04</v>
      </c>
      <c r="T104" s="1931"/>
      <c r="U104" s="1967">
        <f t="shared" si="53"/>
        <v>9.699999999999982</v>
      </c>
      <c r="V104" s="970">
        <f t="shared" si="52"/>
        <v>274.99014999999946</v>
      </c>
      <c r="W104" s="651"/>
      <c r="X104" s="703">
        <f t="shared" si="56"/>
        <v>0</v>
      </c>
      <c r="Y104" s="704">
        <f t="shared" si="57"/>
        <v>0</v>
      </c>
      <c r="Z104" s="704">
        <f t="shared" si="58"/>
        <v>0</v>
      </c>
      <c r="AA104" s="704">
        <f t="shared" si="59"/>
        <v>0</v>
      </c>
      <c r="AB104" s="704">
        <f t="shared" si="60"/>
        <v>0</v>
      </c>
      <c r="AC104" s="705">
        <f t="shared" si="61"/>
        <v>0</v>
      </c>
      <c r="AD104" s="705">
        <f t="shared" si="62"/>
        <v>0</v>
      </c>
      <c r="AE104" s="705">
        <f t="shared" si="63"/>
        <v>0</v>
      </c>
      <c r="AF104" s="705">
        <f t="shared" si="64"/>
        <v>0</v>
      </c>
      <c r="AG104" s="705">
        <f t="shared" si="65"/>
        <v>0</v>
      </c>
      <c r="AH104" s="706">
        <f t="shared" si="66"/>
        <v>0</v>
      </c>
      <c r="AI104" s="648"/>
      <c r="AJ104" s="705">
        <f t="shared" si="67"/>
        <v>0</v>
      </c>
      <c r="AK104" s="705">
        <f t="shared" si="68"/>
        <v>0</v>
      </c>
      <c r="AL104" s="722">
        <f t="shared" si="69"/>
        <v>0</v>
      </c>
      <c r="AM104" s="720">
        <v>10</v>
      </c>
      <c r="AN104" s="650">
        <v>6</v>
      </c>
      <c r="AO104" s="650">
        <v>10</v>
      </c>
      <c r="AQ104" s="754" t="s">
        <v>748</v>
      </c>
      <c r="AR104" s="743"/>
      <c r="AS104" s="744"/>
      <c r="AT104" s="744"/>
      <c r="AU104" s="744"/>
    </row>
    <row r="105" spans="1:47" ht="13.5">
      <c r="A105" s="651"/>
      <c r="B105" s="1952">
        <v>0.24</v>
      </c>
      <c r="C105" s="1964" t="s">
        <v>818</v>
      </c>
      <c r="D105" s="694"/>
      <c r="E105" s="1943"/>
      <c r="F105" s="1943"/>
      <c r="G105" s="1944">
        <f t="shared" si="70"/>
        <v>0</v>
      </c>
      <c r="H105" s="694">
        <f t="shared" si="54"/>
        <v>0</v>
      </c>
      <c r="I105" s="1946">
        <v>13</v>
      </c>
      <c r="J105" s="1946">
        <v>0.4</v>
      </c>
      <c r="K105" s="1946">
        <v>0.05</v>
      </c>
      <c r="L105" s="753">
        <f t="shared" si="55"/>
        <v>14.3</v>
      </c>
      <c r="M105" s="1954">
        <v>0.2</v>
      </c>
      <c r="N105" s="1949">
        <v>100</v>
      </c>
      <c r="O105" s="1950">
        <v>80</v>
      </c>
      <c r="P105" s="1950">
        <v>0.014</v>
      </c>
      <c r="Q105" s="1950">
        <v>0.02</v>
      </c>
      <c r="R105" s="1950">
        <v>0.053</v>
      </c>
      <c r="S105" s="1951">
        <v>0.032</v>
      </c>
      <c r="T105" s="1931"/>
      <c r="U105" s="1967">
        <f t="shared" si="53"/>
        <v>9.799999999999981</v>
      </c>
      <c r="V105" s="970">
        <f t="shared" si="52"/>
        <v>277.82509999999945</v>
      </c>
      <c r="W105" s="651"/>
      <c r="X105" s="703">
        <f t="shared" si="56"/>
        <v>0</v>
      </c>
      <c r="Y105" s="704">
        <f t="shared" si="57"/>
        <v>0</v>
      </c>
      <c r="Z105" s="704">
        <f t="shared" si="58"/>
        <v>0</v>
      </c>
      <c r="AA105" s="704">
        <f t="shared" si="59"/>
        <v>0</v>
      </c>
      <c r="AB105" s="704">
        <f t="shared" si="60"/>
        <v>0</v>
      </c>
      <c r="AC105" s="705">
        <f t="shared" si="61"/>
        <v>0</v>
      </c>
      <c r="AD105" s="705">
        <f t="shared" si="62"/>
        <v>0</v>
      </c>
      <c r="AE105" s="705">
        <f t="shared" si="63"/>
        <v>0</v>
      </c>
      <c r="AF105" s="705">
        <f t="shared" si="64"/>
        <v>0</v>
      </c>
      <c r="AG105" s="705">
        <f t="shared" si="65"/>
        <v>0</v>
      </c>
      <c r="AH105" s="706">
        <f t="shared" si="66"/>
        <v>0</v>
      </c>
      <c r="AI105" s="648"/>
      <c r="AJ105" s="705">
        <f t="shared" si="67"/>
        <v>0</v>
      </c>
      <c r="AK105" s="705">
        <f t="shared" si="68"/>
        <v>0</v>
      </c>
      <c r="AL105" s="722">
        <f t="shared" si="69"/>
        <v>0</v>
      </c>
      <c r="AM105" s="720">
        <v>7</v>
      </c>
      <c r="AN105" s="650">
        <v>5</v>
      </c>
      <c r="AO105" s="650">
        <v>9</v>
      </c>
      <c r="AQ105" s="754"/>
      <c r="AR105" s="743"/>
      <c r="AS105" s="744"/>
      <c r="AT105" s="744"/>
      <c r="AU105" s="744"/>
    </row>
    <row r="106" spans="1:47" ht="13.5">
      <c r="A106" s="651"/>
      <c r="B106" s="1952">
        <v>0.2</v>
      </c>
      <c r="C106" s="1964" t="s">
        <v>774</v>
      </c>
      <c r="D106" s="694"/>
      <c r="E106" s="1943"/>
      <c r="F106" s="1943"/>
      <c r="G106" s="1944">
        <f t="shared" si="70"/>
        <v>0</v>
      </c>
      <c r="H106" s="694">
        <f t="shared" si="54"/>
        <v>0</v>
      </c>
      <c r="I106" s="1945">
        <v>22</v>
      </c>
      <c r="J106" s="1946">
        <v>0.7</v>
      </c>
      <c r="K106" s="1946">
        <v>0.05</v>
      </c>
      <c r="L106" s="753">
        <f t="shared" si="55"/>
        <v>24.200000000000003</v>
      </c>
      <c r="M106" s="1954">
        <v>0.2</v>
      </c>
      <c r="N106" s="1949">
        <v>100</v>
      </c>
      <c r="O106" s="1950">
        <v>77</v>
      </c>
      <c r="P106" s="1950">
        <v>0.02</v>
      </c>
      <c r="Q106" s="1950">
        <v>0.153</v>
      </c>
      <c r="R106" s="1950">
        <v>0.138</v>
      </c>
      <c r="S106" s="1951">
        <v>0.012</v>
      </c>
      <c r="T106" s="1931"/>
      <c r="U106" s="1967">
        <f t="shared" si="53"/>
        <v>9.89999999999998</v>
      </c>
      <c r="V106" s="970">
        <f t="shared" si="52"/>
        <v>280.66004999999944</v>
      </c>
      <c r="W106" s="651"/>
      <c r="X106" s="703">
        <f t="shared" si="56"/>
        <v>0</v>
      </c>
      <c r="Y106" s="704">
        <f t="shared" si="57"/>
        <v>0</v>
      </c>
      <c r="Z106" s="704">
        <f t="shared" si="58"/>
        <v>0</v>
      </c>
      <c r="AA106" s="704">
        <f t="shared" si="59"/>
        <v>0</v>
      </c>
      <c r="AB106" s="704">
        <f t="shared" si="60"/>
        <v>0</v>
      </c>
      <c r="AC106" s="705">
        <f t="shared" si="61"/>
        <v>0</v>
      </c>
      <c r="AD106" s="705">
        <f t="shared" si="62"/>
        <v>0</v>
      </c>
      <c r="AE106" s="705">
        <f t="shared" si="63"/>
        <v>0</v>
      </c>
      <c r="AF106" s="705">
        <f t="shared" si="64"/>
        <v>0</v>
      </c>
      <c r="AG106" s="705">
        <f t="shared" si="65"/>
        <v>0</v>
      </c>
      <c r="AH106" s="706">
        <f t="shared" si="66"/>
        <v>0</v>
      </c>
      <c r="AI106" s="648"/>
      <c r="AJ106" s="705">
        <f t="shared" si="67"/>
        <v>0</v>
      </c>
      <c r="AK106" s="705">
        <f t="shared" si="68"/>
        <v>0</v>
      </c>
      <c r="AL106" s="722">
        <f t="shared" si="69"/>
        <v>0</v>
      </c>
      <c r="AM106" s="720">
        <v>16</v>
      </c>
      <c r="AN106" s="650">
        <v>6</v>
      </c>
      <c r="AO106" s="650">
        <v>7</v>
      </c>
      <c r="AQ106" s="754" t="s">
        <v>762</v>
      </c>
      <c r="AR106" s="743"/>
      <c r="AS106" s="744"/>
      <c r="AT106" s="744"/>
      <c r="AU106" s="744"/>
    </row>
    <row r="107" spans="1:47" ht="13.5">
      <c r="A107" s="651"/>
      <c r="B107" s="1952">
        <v>0.1</v>
      </c>
      <c r="C107" s="1964" t="s">
        <v>783</v>
      </c>
      <c r="D107" s="1953"/>
      <c r="E107" s="1943"/>
      <c r="F107" s="1943"/>
      <c r="G107" s="1944">
        <f t="shared" si="70"/>
        <v>0</v>
      </c>
      <c r="H107" s="694">
        <f t="shared" si="54"/>
        <v>0</v>
      </c>
      <c r="I107" s="1947">
        <v>8.8</v>
      </c>
      <c r="J107" s="1946">
        <v>0.7</v>
      </c>
      <c r="K107" s="1946">
        <v>0.05</v>
      </c>
      <c r="L107" s="753">
        <f t="shared" si="55"/>
        <v>9.680000000000001</v>
      </c>
      <c r="M107" s="1954">
        <v>0.2</v>
      </c>
      <c r="N107" s="1949">
        <v>100</v>
      </c>
      <c r="O107" s="1950">
        <v>129</v>
      </c>
      <c r="P107" s="1950">
        <v>0.038</v>
      </c>
      <c r="Q107" s="1950">
        <v>0.243</v>
      </c>
      <c r="R107" s="1950">
        <v>0.12</v>
      </c>
      <c r="S107" s="1951">
        <v>0.02</v>
      </c>
      <c r="T107" s="1931"/>
      <c r="U107" s="1967">
        <f t="shared" si="53"/>
        <v>9.99999999999998</v>
      </c>
      <c r="V107" s="970">
        <f>U107*28.3495</f>
        <v>283.49499999999944</v>
      </c>
      <c r="W107" s="651"/>
      <c r="X107" s="703">
        <f t="shared" si="56"/>
        <v>0</v>
      </c>
      <c r="Y107" s="704">
        <f t="shared" si="57"/>
        <v>0</v>
      </c>
      <c r="Z107" s="704">
        <f t="shared" si="58"/>
        <v>0</v>
      </c>
      <c r="AA107" s="704">
        <f t="shared" si="59"/>
        <v>0</v>
      </c>
      <c r="AB107" s="704">
        <f t="shared" si="60"/>
        <v>0</v>
      </c>
      <c r="AC107" s="705">
        <f t="shared" si="61"/>
        <v>0</v>
      </c>
      <c r="AD107" s="705">
        <f t="shared" si="62"/>
        <v>0</v>
      </c>
      <c r="AE107" s="705">
        <f t="shared" si="63"/>
        <v>0</v>
      </c>
      <c r="AF107" s="705">
        <f t="shared" si="64"/>
        <v>0</v>
      </c>
      <c r="AG107" s="705">
        <f t="shared" si="65"/>
        <v>0</v>
      </c>
      <c r="AH107" s="706">
        <f t="shared" si="66"/>
        <v>0</v>
      </c>
      <c r="AI107" s="648"/>
      <c r="AJ107" s="705">
        <f t="shared" si="67"/>
        <v>0</v>
      </c>
      <c r="AK107" s="705">
        <f t="shared" si="68"/>
        <v>0</v>
      </c>
      <c r="AL107" s="722">
        <f t="shared" si="69"/>
        <v>0</v>
      </c>
      <c r="AM107" s="720">
        <v>14</v>
      </c>
      <c r="AN107" s="650">
        <v>10</v>
      </c>
      <c r="AO107" s="650">
        <v>10</v>
      </c>
      <c r="AQ107" s="754" t="s">
        <v>107</v>
      </c>
      <c r="AR107" s="743"/>
      <c r="AS107" s="744"/>
      <c r="AT107" s="744"/>
      <c r="AU107" s="744"/>
    </row>
    <row r="108" spans="1:47" ht="13.5">
      <c r="A108" s="651"/>
      <c r="B108" s="1952">
        <v>0.15</v>
      </c>
      <c r="C108" s="1964" t="s">
        <v>819</v>
      </c>
      <c r="D108" s="1953"/>
      <c r="E108" s="1943"/>
      <c r="F108" s="1943"/>
      <c r="G108" s="1944">
        <f t="shared" si="70"/>
        <v>0</v>
      </c>
      <c r="H108" s="694">
        <f t="shared" si="54"/>
        <v>0</v>
      </c>
      <c r="I108" s="1945">
        <v>10.4</v>
      </c>
      <c r="J108" s="1946">
        <v>0.2</v>
      </c>
      <c r="K108" s="1946">
        <v>0.05</v>
      </c>
      <c r="L108" s="753">
        <f t="shared" si="55"/>
        <v>11.440000000000001</v>
      </c>
      <c r="M108" s="1954">
        <v>0.2</v>
      </c>
      <c r="N108" s="1949">
        <v>100</v>
      </c>
      <c r="O108" s="1950">
        <v>148</v>
      </c>
      <c r="P108" s="1950">
        <v>0.021</v>
      </c>
      <c r="Q108" s="1950">
        <v>0.403</v>
      </c>
      <c r="R108" s="1950">
        <v>0.127</v>
      </c>
      <c r="S108" s="1951">
        <v>0.03</v>
      </c>
      <c r="T108" s="1931"/>
      <c r="U108" s="1967">
        <f t="shared" si="53"/>
        <v>10.09999999999998</v>
      </c>
      <c r="V108" s="970">
        <f t="shared" si="52"/>
        <v>286.3299499999994</v>
      </c>
      <c r="W108" s="651"/>
      <c r="X108" s="703">
        <f t="shared" si="56"/>
        <v>0</v>
      </c>
      <c r="Y108" s="704">
        <f t="shared" si="57"/>
        <v>0</v>
      </c>
      <c r="Z108" s="704">
        <f t="shared" si="58"/>
        <v>0</v>
      </c>
      <c r="AA108" s="704">
        <f t="shared" si="59"/>
        <v>0</v>
      </c>
      <c r="AB108" s="704">
        <f t="shared" si="60"/>
        <v>0</v>
      </c>
      <c r="AC108" s="705">
        <f t="shared" si="61"/>
        <v>0</v>
      </c>
      <c r="AD108" s="705">
        <f t="shared" si="62"/>
        <v>0</v>
      </c>
      <c r="AE108" s="705">
        <f t="shared" si="63"/>
        <v>0</v>
      </c>
      <c r="AF108" s="705">
        <f t="shared" si="64"/>
        <v>0</v>
      </c>
      <c r="AG108" s="705">
        <f t="shared" si="65"/>
        <v>0</v>
      </c>
      <c r="AH108" s="706">
        <f t="shared" si="66"/>
        <v>0</v>
      </c>
      <c r="AI108" s="648"/>
      <c r="AJ108" s="705">
        <f t="shared" si="67"/>
        <v>0</v>
      </c>
      <c r="AK108" s="705">
        <f t="shared" si="68"/>
        <v>0</v>
      </c>
      <c r="AL108" s="722">
        <f t="shared" si="69"/>
        <v>0</v>
      </c>
      <c r="AM108" s="720">
        <v>9</v>
      </c>
      <c r="AN108" s="650">
        <v>9</v>
      </c>
      <c r="AO108" s="650">
        <v>18</v>
      </c>
      <c r="AQ108" s="754" t="s">
        <v>107</v>
      </c>
      <c r="AR108" s="743"/>
      <c r="AS108" s="744"/>
      <c r="AT108" s="744"/>
      <c r="AU108" s="744"/>
    </row>
    <row r="109" spans="1:47" ht="13.5">
      <c r="A109" s="651"/>
      <c r="B109" s="1952">
        <v>0.1</v>
      </c>
      <c r="C109" s="1964" t="s">
        <v>788</v>
      </c>
      <c r="D109" s="1953"/>
      <c r="E109" s="1943"/>
      <c r="F109" s="1943"/>
      <c r="G109" s="1944">
        <f t="shared" si="70"/>
        <v>0</v>
      </c>
      <c r="H109" s="694">
        <f t="shared" si="54"/>
        <v>0</v>
      </c>
      <c r="I109" s="1945">
        <v>19</v>
      </c>
      <c r="J109" s="1946">
        <v>0.15</v>
      </c>
      <c r="K109" s="1946">
        <v>0.05</v>
      </c>
      <c r="L109" s="755">
        <f t="shared" si="55"/>
        <v>20.900000000000002</v>
      </c>
      <c r="M109" s="1954">
        <v>0.2</v>
      </c>
      <c r="N109" s="1949">
        <v>100</v>
      </c>
      <c r="O109" s="1949">
        <v>30</v>
      </c>
      <c r="P109" s="1949">
        <v>0.01</v>
      </c>
      <c r="Q109" s="1949">
        <v>0.15</v>
      </c>
      <c r="R109" s="1949">
        <v>0.1</v>
      </c>
      <c r="S109" s="1966">
        <v>0.01</v>
      </c>
      <c r="T109" s="1931"/>
      <c r="U109" s="1967">
        <f t="shared" si="53"/>
        <v>10.19999999999998</v>
      </c>
      <c r="V109" s="970">
        <f t="shared" si="52"/>
        <v>289.1648999999994</v>
      </c>
      <c r="W109" s="651"/>
      <c r="X109" s="703">
        <f t="shared" si="56"/>
        <v>0</v>
      </c>
      <c r="Y109" s="704">
        <f t="shared" si="57"/>
        <v>0</v>
      </c>
      <c r="Z109" s="704">
        <f t="shared" si="58"/>
        <v>0</v>
      </c>
      <c r="AA109" s="704">
        <f t="shared" si="59"/>
        <v>0</v>
      </c>
      <c r="AB109" s="704">
        <f t="shared" si="60"/>
        <v>0</v>
      </c>
      <c r="AC109" s="705">
        <f t="shared" si="61"/>
        <v>0</v>
      </c>
      <c r="AD109" s="705">
        <f t="shared" si="62"/>
        <v>0</v>
      </c>
      <c r="AE109" s="705">
        <f t="shared" si="63"/>
        <v>0</v>
      </c>
      <c r="AF109" s="705">
        <f t="shared" si="64"/>
        <v>0</v>
      </c>
      <c r="AG109" s="705">
        <f t="shared" si="65"/>
        <v>0</v>
      </c>
      <c r="AH109" s="706">
        <f t="shared" si="66"/>
        <v>0</v>
      </c>
      <c r="AI109" s="648"/>
      <c r="AJ109" s="705">
        <f t="shared" si="67"/>
        <v>0</v>
      </c>
      <c r="AK109" s="705">
        <f t="shared" si="68"/>
        <v>0</v>
      </c>
      <c r="AL109" s="722">
        <f t="shared" si="69"/>
        <v>0</v>
      </c>
      <c r="AM109" s="733">
        <v>10</v>
      </c>
      <c r="AN109" s="733">
        <v>10</v>
      </c>
      <c r="AO109" s="733">
        <v>8</v>
      </c>
      <c r="AQ109" s="754"/>
      <c r="AR109" s="743"/>
      <c r="AS109" s="744"/>
      <c r="AT109" s="744"/>
      <c r="AU109" s="744"/>
    </row>
    <row r="110" spans="1:47" ht="13.5">
      <c r="A110" s="651"/>
      <c r="B110" s="1952">
        <v>0.2</v>
      </c>
      <c r="C110" s="1964" t="s">
        <v>790</v>
      </c>
      <c r="D110" s="1953"/>
      <c r="E110" s="1943"/>
      <c r="F110" s="1943"/>
      <c r="G110" s="1944">
        <f t="shared" si="70"/>
        <v>0</v>
      </c>
      <c r="H110" s="694">
        <f t="shared" si="54"/>
        <v>0</v>
      </c>
      <c r="I110" s="1945">
        <v>20</v>
      </c>
      <c r="J110" s="1946">
        <v>0.25</v>
      </c>
      <c r="K110" s="1946">
        <v>0.05</v>
      </c>
      <c r="L110" s="755">
        <f t="shared" si="55"/>
        <v>22</v>
      </c>
      <c r="M110" s="1954">
        <v>0.2</v>
      </c>
      <c r="N110" s="1949">
        <v>100</v>
      </c>
      <c r="O110" s="1950">
        <v>48</v>
      </c>
      <c r="P110" s="1950">
        <v>0.054</v>
      </c>
      <c r="Q110" s="1950">
        <v>0.286</v>
      </c>
      <c r="R110" s="1950">
        <v>0.032</v>
      </c>
      <c r="S110" s="1951">
        <v>0.018</v>
      </c>
      <c r="T110" s="1931"/>
      <c r="U110" s="1967">
        <f t="shared" si="53"/>
        <v>10.29999999999998</v>
      </c>
      <c r="V110" s="970">
        <f t="shared" si="52"/>
        <v>291.9998499999994</v>
      </c>
      <c r="W110" s="651"/>
      <c r="X110" s="703">
        <f t="shared" si="56"/>
        <v>0</v>
      </c>
      <c r="Y110" s="704">
        <f t="shared" si="57"/>
        <v>0</v>
      </c>
      <c r="Z110" s="704">
        <f t="shared" si="58"/>
        <v>0</v>
      </c>
      <c r="AA110" s="704">
        <f t="shared" si="59"/>
        <v>0</v>
      </c>
      <c r="AB110" s="704">
        <f t="shared" si="60"/>
        <v>0</v>
      </c>
      <c r="AC110" s="705">
        <f t="shared" si="61"/>
        <v>0</v>
      </c>
      <c r="AD110" s="705">
        <f t="shared" si="62"/>
        <v>0</v>
      </c>
      <c r="AE110" s="705">
        <f t="shared" si="63"/>
        <v>0</v>
      </c>
      <c r="AF110" s="705">
        <f t="shared" si="64"/>
        <v>0</v>
      </c>
      <c r="AG110" s="705">
        <f t="shared" si="65"/>
        <v>0</v>
      </c>
      <c r="AH110" s="706">
        <f t="shared" si="66"/>
        <v>0</v>
      </c>
      <c r="AI110" s="648"/>
      <c r="AJ110" s="705">
        <f t="shared" si="67"/>
        <v>0</v>
      </c>
      <c r="AK110" s="705">
        <f t="shared" si="68"/>
        <v>0</v>
      </c>
      <c r="AL110" s="722">
        <f t="shared" si="69"/>
        <v>0</v>
      </c>
      <c r="AM110" s="720">
        <v>12</v>
      </c>
      <c r="AN110" s="650">
        <v>13</v>
      </c>
      <c r="AO110" s="650">
        <v>8</v>
      </c>
      <c r="AQ110" s="754"/>
      <c r="AR110" s="743"/>
      <c r="AS110" s="744"/>
      <c r="AT110" s="744"/>
      <c r="AU110" s="744"/>
    </row>
    <row r="111" spans="1:47" ht="13.5">
      <c r="A111" s="651"/>
      <c r="B111" s="1952">
        <v>0.14</v>
      </c>
      <c r="C111" s="1964" t="s">
        <v>795</v>
      </c>
      <c r="D111" s="1953"/>
      <c r="E111" s="1943"/>
      <c r="F111" s="1943"/>
      <c r="G111" s="1944">
        <f t="shared" si="70"/>
        <v>0</v>
      </c>
      <c r="H111" s="694">
        <f t="shared" si="54"/>
        <v>0</v>
      </c>
      <c r="I111" s="1945">
        <v>19</v>
      </c>
      <c r="J111" s="1946">
        <v>0.5</v>
      </c>
      <c r="K111" s="1946">
        <v>0.05</v>
      </c>
      <c r="L111" s="755">
        <f t="shared" si="55"/>
        <v>20.900000000000002</v>
      </c>
      <c r="M111" s="1954">
        <v>0.2</v>
      </c>
      <c r="N111" s="1949">
        <v>100</v>
      </c>
      <c r="O111" s="1949">
        <v>170</v>
      </c>
      <c r="P111" s="1949">
        <v>0.053</v>
      </c>
      <c r="Q111" s="1949">
        <v>0.446</v>
      </c>
      <c r="R111" s="1949">
        <v>0.125</v>
      </c>
      <c r="S111" s="1966">
        <v>0.042</v>
      </c>
      <c r="T111" s="1931"/>
      <c r="U111" s="1967">
        <f t="shared" si="53"/>
        <v>10.399999999999979</v>
      </c>
      <c r="V111" s="970">
        <f t="shared" si="52"/>
        <v>294.8347999999994</v>
      </c>
      <c r="W111" s="651"/>
      <c r="X111" s="703">
        <f t="shared" si="56"/>
        <v>0</v>
      </c>
      <c r="Y111" s="704">
        <f t="shared" si="57"/>
        <v>0</v>
      </c>
      <c r="Z111" s="704">
        <f t="shared" si="58"/>
        <v>0</v>
      </c>
      <c r="AA111" s="704">
        <f t="shared" si="59"/>
        <v>0</v>
      </c>
      <c r="AB111" s="704">
        <f t="shared" si="60"/>
        <v>0</v>
      </c>
      <c r="AC111" s="705">
        <f t="shared" si="61"/>
        <v>0</v>
      </c>
      <c r="AD111" s="705">
        <f t="shared" si="62"/>
        <v>0</v>
      </c>
      <c r="AE111" s="705">
        <f t="shared" si="63"/>
        <v>0</v>
      </c>
      <c r="AF111" s="705">
        <f t="shared" si="64"/>
        <v>0</v>
      </c>
      <c r="AG111" s="705">
        <f t="shared" si="65"/>
        <v>0</v>
      </c>
      <c r="AH111" s="706">
        <f t="shared" si="66"/>
        <v>0</v>
      </c>
      <c r="AI111" s="648"/>
      <c r="AJ111" s="705">
        <f t="shared" si="67"/>
        <v>0</v>
      </c>
      <c r="AK111" s="705">
        <f t="shared" si="68"/>
        <v>0</v>
      </c>
      <c r="AL111" s="722">
        <f t="shared" si="69"/>
        <v>0</v>
      </c>
      <c r="AM111" s="732">
        <v>18</v>
      </c>
      <c r="AN111" s="731">
        <v>8</v>
      </c>
      <c r="AO111" s="731">
        <v>14</v>
      </c>
      <c r="AQ111" s="754" t="s">
        <v>107</v>
      </c>
      <c r="AR111" s="743"/>
      <c r="AS111" s="744"/>
      <c r="AT111" s="744"/>
      <c r="AU111" s="744"/>
    </row>
    <row r="112" spans="1:47" ht="13.5">
      <c r="A112" s="651"/>
      <c r="B112" s="1952">
        <v>0.25</v>
      </c>
      <c r="C112" s="1964" t="s">
        <v>796</v>
      </c>
      <c r="D112" s="1953"/>
      <c r="E112" s="1943"/>
      <c r="F112" s="1943"/>
      <c r="G112" s="1944">
        <f t="shared" si="70"/>
        <v>0</v>
      </c>
      <c r="H112" s="694">
        <f t="shared" si="54"/>
        <v>0</v>
      </c>
      <c r="I112" s="1945">
        <v>15</v>
      </c>
      <c r="J112" s="1946">
        <v>0.1</v>
      </c>
      <c r="K112" s="1946">
        <v>0.05</v>
      </c>
      <c r="L112" s="755">
        <f t="shared" si="55"/>
        <v>16.5</v>
      </c>
      <c r="M112" s="1954">
        <v>0.2</v>
      </c>
      <c r="N112" s="1949">
        <v>100</v>
      </c>
      <c r="O112" s="1950">
        <v>31</v>
      </c>
      <c r="P112" s="1950">
        <v>0.01</v>
      </c>
      <c r="Q112" s="1950">
        <v>0.15</v>
      </c>
      <c r="R112" s="1950"/>
      <c r="S112" s="1951">
        <v>0.01</v>
      </c>
      <c r="T112" s="1931"/>
      <c r="U112" s="1967">
        <f t="shared" si="53"/>
        <v>10.499999999999979</v>
      </c>
      <c r="V112" s="970">
        <f t="shared" si="52"/>
        <v>297.6697499999994</v>
      </c>
      <c r="W112" s="651"/>
      <c r="X112" s="703">
        <f t="shared" si="56"/>
        <v>0</v>
      </c>
      <c r="Y112" s="704">
        <f t="shared" si="57"/>
        <v>0</v>
      </c>
      <c r="Z112" s="704">
        <f t="shared" si="58"/>
        <v>0</v>
      </c>
      <c r="AA112" s="704">
        <f t="shared" si="59"/>
        <v>0</v>
      </c>
      <c r="AB112" s="704">
        <f t="shared" si="60"/>
        <v>0</v>
      </c>
      <c r="AC112" s="705">
        <f t="shared" si="61"/>
        <v>0</v>
      </c>
      <c r="AD112" s="705">
        <f t="shared" si="62"/>
        <v>0</v>
      </c>
      <c r="AE112" s="705">
        <f t="shared" si="63"/>
        <v>0</v>
      </c>
      <c r="AF112" s="705">
        <f t="shared" si="64"/>
        <v>0</v>
      </c>
      <c r="AG112" s="705">
        <f t="shared" si="65"/>
        <v>0</v>
      </c>
      <c r="AH112" s="706">
        <f t="shared" si="66"/>
        <v>0</v>
      </c>
      <c r="AI112" s="648"/>
      <c r="AJ112" s="705">
        <f t="shared" si="67"/>
        <v>0</v>
      </c>
      <c r="AK112" s="705">
        <f t="shared" si="68"/>
        <v>0</v>
      </c>
      <c r="AL112" s="722">
        <f t="shared" si="69"/>
        <v>0</v>
      </c>
      <c r="AM112" s="720">
        <v>10</v>
      </c>
      <c r="AN112" s="650">
        <v>3</v>
      </c>
      <c r="AO112" s="650">
        <v>0</v>
      </c>
      <c r="AQ112" s="754"/>
      <c r="AR112" s="743"/>
      <c r="AS112" s="744"/>
      <c r="AT112" s="744"/>
      <c r="AU112" s="744"/>
    </row>
    <row r="113" spans="1:47" ht="13.5">
      <c r="A113" s="651"/>
      <c r="B113" s="1952">
        <v>0.18</v>
      </c>
      <c r="C113" s="1964" t="s">
        <v>820</v>
      </c>
      <c r="D113" s="1953"/>
      <c r="E113" s="1943"/>
      <c r="F113" s="1943"/>
      <c r="G113" s="1944">
        <f t="shared" si="70"/>
        <v>0</v>
      </c>
      <c r="H113" s="694">
        <f t="shared" si="54"/>
        <v>0</v>
      </c>
      <c r="I113" s="1945">
        <v>14</v>
      </c>
      <c r="J113" s="1947">
        <v>0.3</v>
      </c>
      <c r="K113" s="1946">
        <v>0.05</v>
      </c>
      <c r="L113" s="755">
        <f t="shared" si="55"/>
        <v>15.400000000000002</v>
      </c>
      <c r="M113" s="1954">
        <v>0.2</v>
      </c>
      <c r="N113" s="1949">
        <v>100</v>
      </c>
      <c r="O113" s="1950">
        <v>140</v>
      </c>
      <c r="P113" s="1950">
        <v>0.009</v>
      </c>
      <c r="Q113" s="1950">
        <v>0.593</v>
      </c>
      <c r="R113" s="1950">
        <v>0.05</v>
      </c>
      <c r="S113" s="1951">
        <v>0.019</v>
      </c>
      <c r="T113" s="1931"/>
      <c r="U113" s="1967">
        <f t="shared" si="53"/>
        <v>10.599999999999978</v>
      </c>
      <c r="V113" s="970">
        <f t="shared" si="52"/>
        <v>300.5046999999994</v>
      </c>
      <c r="W113" s="651"/>
      <c r="X113" s="703">
        <f t="shared" si="56"/>
        <v>0</v>
      </c>
      <c r="Y113" s="704">
        <f t="shared" si="57"/>
        <v>0</v>
      </c>
      <c r="Z113" s="704">
        <f t="shared" si="58"/>
        <v>0</v>
      </c>
      <c r="AA113" s="704">
        <f t="shared" si="59"/>
        <v>0</v>
      </c>
      <c r="AB113" s="704">
        <f t="shared" si="60"/>
        <v>0</v>
      </c>
      <c r="AC113" s="705">
        <f t="shared" si="61"/>
        <v>0</v>
      </c>
      <c r="AD113" s="705">
        <f t="shared" si="62"/>
        <v>0</v>
      </c>
      <c r="AE113" s="705">
        <f t="shared" si="63"/>
        <v>0</v>
      </c>
      <c r="AF113" s="705">
        <f t="shared" si="64"/>
        <v>0</v>
      </c>
      <c r="AG113" s="705">
        <f t="shared" si="65"/>
        <v>0</v>
      </c>
      <c r="AH113" s="706">
        <f t="shared" si="66"/>
        <v>0</v>
      </c>
      <c r="AI113" s="648"/>
      <c r="AJ113" s="705">
        <f t="shared" si="67"/>
        <v>0</v>
      </c>
      <c r="AK113" s="705">
        <f t="shared" si="68"/>
        <v>0</v>
      </c>
      <c r="AL113" s="722">
        <f t="shared" si="69"/>
        <v>0</v>
      </c>
      <c r="AM113" s="720">
        <v>10</v>
      </c>
      <c r="AN113" s="650">
        <v>6</v>
      </c>
      <c r="AO113" s="650">
        <v>12</v>
      </c>
      <c r="AQ113" s="740" t="s">
        <v>748</v>
      </c>
      <c r="AR113" s="743"/>
      <c r="AS113" s="744"/>
      <c r="AT113" s="744"/>
      <c r="AU113" s="744"/>
    </row>
    <row r="114" spans="1:47" ht="13.5">
      <c r="A114" s="651"/>
      <c r="B114" s="1952">
        <v>0.19</v>
      </c>
      <c r="C114" s="1964" t="s">
        <v>821</v>
      </c>
      <c r="D114" s="1953"/>
      <c r="E114" s="1943"/>
      <c r="F114" s="1943"/>
      <c r="G114" s="1944">
        <f t="shared" si="70"/>
        <v>0</v>
      </c>
      <c r="H114" s="694">
        <f t="shared" si="54"/>
        <v>0</v>
      </c>
      <c r="I114" s="1945">
        <v>12.1</v>
      </c>
      <c r="J114" s="1947">
        <v>0.2</v>
      </c>
      <c r="K114" s="1946">
        <v>0.05</v>
      </c>
      <c r="L114" s="753">
        <f>I114*1.3</f>
        <v>15.73</v>
      </c>
      <c r="M114" s="1954">
        <v>0.2</v>
      </c>
      <c r="N114" s="1949">
        <v>100</v>
      </c>
      <c r="O114" s="1950">
        <v>66</v>
      </c>
      <c r="P114" s="1950">
        <v>0.01</v>
      </c>
      <c r="Q114" s="1950">
        <v>0.154</v>
      </c>
      <c r="R114" s="1950">
        <v>0.022</v>
      </c>
      <c r="S114" s="1951">
        <v>0.014</v>
      </c>
      <c r="T114" s="1931"/>
      <c r="U114" s="1967">
        <f t="shared" si="53"/>
        <v>10.699999999999978</v>
      </c>
      <c r="V114" s="970">
        <f t="shared" si="52"/>
        <v>303.3396499999994</v>
      </c>
      <c r="W114" s="651"/>
      <c r="X114" s="703">
        <f t="shared" si="56"/>
        <v>0</v>
      </c>
      <c r="Y114" s="704">
        <f t="shared" si="57"/>
        <v>0</v>
      </c>
      <c r="Z114" s="704">
        <f t="shared" si="58"/>
        <v>0</v>
      </c>
      <c r="AA114" s="704">
        <f t="shared" si="59"/>
        <v>0</v>
      </c>
      <c r="AB114" s="704">
        <f t="shared" si="60"/>
        <v>0</v>
      </c>
      <c r="AC114" s="705">
        <f t="shared" si="61"/>
        <v>0</v>
      </c>
      <c r="AD114" s="705">
        <f t="shared" si="62"/>
        <v>0</v>
      </c>
      <c r="AE114" s="705">
        <f t="shared" si="63"/>
        <v>0</v>
      </c>
      <c r="AF114" s="705">
        <f t="shared" si="64"/>
        <v>0</v>
      </c>
      <c r="AG114" s="705">
        <f t="shared" si="65"/>
        <v>0</v>
      </c>
      <c r="AH114" s="706">
        <f t="shared" si="66"/>
        <v>0</v>
      </c>
      <c r="AI114" s="648"/>
      <c r="AJ114" s="705">
        <f t="shared" si="67"/>
        <v>0</v>
      </c>
      <c r="AK114" s="705">
        <f t="shared" si="68"/>
        <v>0</v>
      </c>
      <c r="AL114" s="722">
        <f t="shared" si="69"/>
        <v>0</v>
      </c>
      <c r="AM114" s="720">
        <v>5</v>
      </c>
      <c r="AN114" s="650">
        <v>4</v>
      </c>
      <c r="AO114" s="650">
        <v>7</v>
      </c>
      <c r="AQ114" s="740" t="s">
        <v>748</v>
      </c>
      <c r="AR114" s="743"/>
      <c r="AS114" s="744"/>
      <c r="AT114" s="744"/>
      <c r="AU114" s="744"/>
    </row>
    <row r="115" spans="1:47" ht="13.5">
      <c r="A115" s="651"/>
      <c r="B115" s="1952">
        <v>0.14</v>
      </c>
      <c r="C115" s="1964" t="s">
        <v>801</v>
      </c>
      <c r="D115" s="1953"/>
      <c r="E115" s="1943"/>
      <c r="F115" s="1943"/>
      <c r="G115" s="1944">
        <f t="shared" si="70"/>
        <v>0</v>
      </c>
      <c r="H115" s="694">
        <f t="shared" si="54"/>
        <v>0</v>
      </c>
      <c r="I115" s="1945">
        <v>12</v>
      </c>
      <c r="J115" s="1947">
        <v>0.17</v>
      </c>
      <c r="K115" s="1946">
        <v>0.05</v>
      </c>
      <c r="L115" s="753">
        <f>I115*1.1</f>
        <v>13.200000000000001</v>
      </c>
      <c r="M115" s="1954">
        <v>0.2</v>
      </c>
      <c r="N115" s="1949">
        <v>100</v>
      </c>
      <c r="O115" s="1950">
        <v>105</v>
      </c>
      <c r="P115" s="1950">
        <v>0.091</v>
      </c>
      <c r="Q115" s="1950">
        <v>0.292</v>
      </c>
      <c r="R115" s="1950">
        <v>0.1</v>
      </c>
      <c r="S115" s="1951">
        <v>0.074</v>
      </c>
      <c r="T115" s="1931"/>
      <c r="U115" s="1967">
        <f t="shared" si="53"/>
        <v>10.799999999999978</v>
      </c>
      <c r="V115" s="970">
        <f t="shared" si="52"/>
        <v>306.1745999999994</v>
      </c>
      <c r="W115" s="651"/>
      <c r="X115" s="703">
        <f t="shared" si="56"/>
        <v>0</v>
      </c>
      <c r="Y115" s="704">
        <f t="shared" si="57"/>
        <v>0</v>
      </c>
      <c r="Z115" s="704">
        <f t="shared" si="58"/>
        <v>0</v>
      </c>
      <c r="AA115" s="704">
        <f t="shared" si="59"/>
        <v>0</v>
      </c>
      <c r="AB115" s="704">
        <f t="shared" si="60"/>
        <v>0</v>
      </c>
      <c r="AC115" s="705">
        <f t="shared" si="61"/>
        <v>0</v>
      </c>
      <c r="AD115" s="705">
        <f t="shared" si="62"/>
        <v>0</v>
      </c>
      <c r="AE115" s="705">
        <f t="shared" si="63"/>
        <v>0</v>
      </c>
      <c r="AF115" s="705">
        <f t="shared" si="64"/>
        <v>0</v>
      </c>
      <c r="AG115" s="705">
        <f t="shared" si="65"/>
        <v>0</v>
      </c>
      <c r="AH115" s="706">
        <f t="shared" si="66"/>
        <v>0</v>
      </c>
      <c r="AI115" s="648"/>
      <c r="AJ115" s="705">
        <f t="shared" si="67"/>
        <v>0</v>
      </c>
      <c r="AK115" s="705">
        <f t="shared" si="68"/>
        <v>0</v>
      </c>
      <c r="AL115" s="722">
        <f t="shared" si="69"/>
        <v>0</v>
      </c>
      <c r="AM115" s="720">
        <v>14</v>
      </c>
      <c r="AN115" s="650">
        <v>16</v>
      </c>
      <c r="AO115" s="650">
        <v>7</v>
      </c>
      <c r="AQ115" s="754" t="s">
        <v>107</v>
      </c>
      <c r="AR115" s="743"/>
      <c r="AS115" s="744"/>
      <c r="AT115" s="744"/>
      <c r="AU115" s="744"/>
    </row>
    <row r="116" spans="1:47" ht="13.5">
      <c r="A116" s="651"/>
      <c r="B116" s="1952">
        <v>0.17</v>
      </c>
      <c r="C116" s="1964" t="s">
        <v>802</v>
      </c>
      <c r="D116" s="1953"/>
      <c r="E116" s="1943"/>
      <c r="F116" s="1943"/>
      <c r="G116" s="1944">
        <f t="shared" si="70"/>
        <v>0</v>
      </c>
      <c r="H116" s="694">
        <f t="shared" si="54"/>
        <v>0</v>
      </c>
      <c r="I116" s="1947">
        <v>15</v>
      </c>
      <c r="J116" s="1946">
        <v>0.7</v>
      </c>
      <c r="K116" s="1946">
        <v>0.05</v>
      </c>
      <c r="L116" s="753">
        <f>I116*1.1</f>
        <v>16.5</v>
      </c>
      <c r="M116" s="1954">
        <v>0.2</v>
      </c>
      <c r="N116" s="1949">
        <v>100</v>
      </c>
      <c r="O116" s="1950">
        <v>90</v>
      </c>
      <c r="P116" s="1950">
        <v>0.016</v>
      </c>
      <c r="Q116" s="1950">
        <v>0.297</v>
      </c>
      <c r="R116" s="1950">
        <v>0.072</v>
      </c>
      <c r="S116" s="1951">
        <v>0.027</v>
      </c>
      <c r="T116" s="1931"/>
      <c r="U116" s="1967">
        <f t="shared" si="53"/>
        <v>10.899999999999977</v>
      </c>
      <c r="V116" s="970">
        <f t="shared" si="52"/>
        <v>309.00954999999936</v>
      </c>
      <c r="W116" s="651"/>
      <c r="X116" s="703">
        <f t="shared" si="56"/>
        <v>0</v>
      </c>
      <c r="Y116" s="704">
        <f t="shared" si="57"/>
        <v>0</v>
      </c>
      <c r="Z116" s="704">
        <f t="shared" si="58"/>
        <v>0</v>
      </c>
      <c r="AA116" s="704">
        <f t="shared" si="59"/>
        <v>0</v>
      </c>
      <c r="AB116" s="704">
        <f t="shared" si="60"/>
        <v>0</v>
      </c>
      <c r="AC116" s="705">
        <f t="shared" si="61"/>
        <v>0</v>
      </c>
      <c r="AD116" s="705">
        <f t="shared" si="62"/>
        <v>0</v>
      </c>
      <c r="AE116" s="705">
        <f t="shared" si="63"/>
        <v>0</v>
      </c>
      <c r="AF116" s="705">
        <f t="shared" si="64"/>
        <v>0</v>
      </c>
      <c r="AG116" s="705">
        <f t="shared" si="65"/>
        <v>0</v>
      </c>
      <c r="AH116" s="706">
        <f t="shared" si="66"/>
        <v>0</v>
      </c>
      <c r="AI116" s="648"/>
      <c r="AJ116" s="705">
        <f t="shared" si="67"/>
        <v>0</v>
      </c>
      <c r="AK116" s="705">
        <f t="shared" si="68"/>
        <v>0</v>
      </c>
      <c r="AL116" s="722">
        <f t="shared" si="69"/>
        <v>0</v>
      </c>
      <c r="AM116" s="720">
        <v>9</v>
      </c>
      <c r="AN116" s="650">
        <v>5</v>
      </c>
      <c r="AO116" s="650">
        <v>13</v>
      </c>
      <c r="AQ116" s="754" t="s">
        <v>748</v>
      </c>
      <c r="AR116" s="743"/>
      <c r="AS116" s="744"/>
      <c r="AT116" s="744"/>
      <c r="AU116" s="744"/>
    </row>
    <row r="117" spans="1:47" ht="13.5">
      <c r="A117" s="651"/>
      <c r="B117" s="1952">
        <v>0.3</v>
      </c>
      <c r="C117" s="1964" t="s">
        <v>803</v>
      </c>
      <c r="D117" s="1953"/>
      <c r="E117" s="1943"/>
      <c r="F117" s="1943"/>
      <c r="G117" s="1944">
        <f t="shared" si="70"/>
        <v>0</v>
      </c>
      <c r="H117" s="694">
        <f t="shared" si="54"/>
        <v>0</v>
      </c>
      <c r="I117" s="1945">
        <v>21</v>
      </c>
      <c r="J117" s="1946">
        <v>0.6</v>
      </c>
      <c r="K117" s="1946">
        <v>0.05</v>
      </c>
      <c r="L117" s="755">
        <f>I117*1.1</f>
        <v>23.1</v>
      </c>
      <c r="M117" s="1954">
        <v>0.2</v>
      </c>
      <c r="N117" s="1949">
        <v>100</v>
      </c>
      <c r="O117" s="1950">
        <v>270</v>
      </c>
      <c r="P117" s="1950">
        <v>0.034</v>
      </c>
      <c r="Q117" s="1950">
        <v>0.866</v>
      </c>
      <c r="R117" s="1950">
        <v>0.1</v>
      </c>
      <c r="S117" s="1951">
        <v>0.203</v>
      </c>
      <c r="T117" s="1931"/>
      <c r="U117" s="1967">
        <f t="shared" si="53"/>
        <v>10.999999999999977</v>
      </c>
      <c r="V117" s="970">
        <f t="shared" si="52"/>
        <v>311.84449999999936</v>
      </c>
      <c r="W117" s="651"/>
      <c r="X117" s="703">
        <f t="shared" si="56"/>
        <v>0</v>
      </c>
      <c r="Y117" s="704">
        <f t="shared" si="57"/>
        <v>0</v>
      </c>
      <c r="Z117" s="704">
        <f t="shared" si="58"/>
        <v>0</v>
      </c>
      <c r="AA117" s="704">
        <f t="shared" si="59"/>
        <v>0</v>
      </c>
      <c r="AB117" s="704">
        <f t="shared" si="60"/>
        <v>0</v>
      </c>
      <c r="AC117" s="705">
        <f t="shared" si="61"/>
        <v>0</v>
      </c>
      <c r="AD117" s="705">
        <f t="shared" si="62"/>
        <v>0</v>
      </c>
      <c r="AE117" s="705">
        <f t="shared" si="63"/>
        <v>0</v>
      </c>
      <c r="AF117" s="705">
        <f t="shared" si="64"/>
        <v>0</v>
      </c>
      <c r="AG117" s="705">
        <f t="shared" si="65"/>
        <v>0</v>
      </c>
      <c r="AH117" s="706">
        <f t="shared" si="66"/>
        <v>0</v>
      </c>
      <c r="AI117" s="648"/>
      <c r="AJ117" s="705">
        <f t="shared" si="67"/>
        <v>0</v>
      </c>
      <c r="AK117" s="705">
        <f t="shared" si="68"/>
        <v>0</v>
      </c>
      <c r="AL117" s="722">
        <f t="shared" si="69"/>
        <v>0</v>
      </c>
      <c r="AM117" s="720">
        <v>12</v>
      </c>
      <c r="AN117" s="650">
        <v>14</v>
      </c>
      <c r="AO117" s="650">
        <v>25</v>
      </c>
      <c r="AQ117" s="740" t="s">
        <v>748</v>
      </c>
      <c r="AR117" s="743"/>
      <c r="AS117" s="744"/>
      <c r="AT117" s="744"/>
      <c r="AU117" s="744"/>
    </row>
    <row r="118" spans="1:47" ht="13.5">
      <c r="A118" s="651"/>
      <c r="B118" s="1952">
        <v>0.15</v>
      </c>
      <c r="C118" s="1964" t="s">
        <v>806</v>
      </c>
      <c r="D118" s="1953"/>
      <c r="E118" s="1943"/>
      <c r="F118" s="1943"/>
      <c r="G118" s="1944">
        <f t="shared" si="70"/>
        <v>0</v>
      </c>
      <c r="H118" s="694">
        <f t="shared" si="54"/>
        <v>0</v>
      </c>
      <c r="I118" s="1945">
        <v>14</v>
      </c>
      <c r="J118" s="1946">
        <v>0.6</v>
      </c>
      <c r="K118" s="1946">
        <v>0.05</v>
      </c>
      <c r="L118" s="753">
        <f>I118*1.1</f>
        <v>15.400000000000002</v>
      </c>
      <c r="M118" s="1954">
        <v>0.2</v>
      </c>
      <c r="N118" s="1949">
        <v>100</v>
      </c>
      <c r="O118" s="1950">
        <v>94</v>
      </c>
      <c r="P118" s="1950">
        <v>0.02</v>
      </c>
      <c r="Q118" s="1950">
        <v>0.44</v>
      </c>
      <c r="R118" s="1950">
        <v>0</v>
      </c>
      <c r="S118" s="1951">
        <v>0.04</v>
      </c>
      <c r="T118" s="1931"/>
      <c r="U118" s="1967">
        <f t="shared" si="53"/>
        <v>11.099999999999977</v>
      </c>
      <c r="V118" s="970">
        <f t="shared" si="52"/>
        <v>314.67944999999935</v>
      </c>
      <c r="W118" s="651"/>
      <c r="X118" s="703">
        <f t="shared" si="56"/>
        <v>0</v>
      </c>
      <c r="Y118" s="704">
        <f t="shared" si="57"/>
        <v>0</v>
      </c>
      <c r="Z118" s="704">
        <f t="shared" si="58"/>
        <v>0</v>
      </c>
      <c r="AA118" s="704">
        <f t="shared" si="59"/>
        <v>0</v>
      </c>
      <c r="AB118" s="704">
        <f t="shared" si="60"/>
        <v>0</v>
      </c>
      <c r="AC118" s="705">
        <f t="shared" si="61"/>
        <v>0</v>
      </c>
      <c r="AD118" s="705">
        <f t="shared" si="62"/>
        <v>0</v>
      </c>
      <c r="AE118" s="705">
        <f t="shared" si="63"/>
        <v>0</v>
      </c>
      <c r="AF118" s="705">
        <f t="shared" si="64"/>
        <v>0</v>
      </c>
      <c r="AG118" s="705">
        <f t="shared" si="65"/>
        <v>0</v>
      </c>
      <c r="AH118" s="706">
        <f t="shared" si="66"/>
        <v>0</v>
      </c>
      <c r="AI118" s="648"/>
      <c r="AJ118" s="705">
        <f t="shared" si="67"/>
        <v>0</v>
      </c>
      <c r="AK118" s="705">
        <f t="shared" si="68"/>
        <v>0</v>
      </c>
      <c r="AL118" s="722">
        <f t="shared" si="69"/>
        <v>0</v>
      </c>
      <c r="AM118" s="720">
        <v>11</v>
      </c>
      <c r="AN118" s="650">
        <v>12</v>
      </c>
      <c r="AO118" s="650">
        <v>9</v>
      </c>
      <c r="AQ118" s="754" t="s">
        <v>107</v>
      </c>
      <c r="AR118" s="743"/>
      <c r="AS118" s="744"/>
      <c r="AT118" s="744"/>
      <c r="AU118" s="744"/>
    </row>
    <row r="119" spans="1:47" ht="13.5">
      <c r="A119" s="651"/>
      <c r="B119" s="1952">
        <v>0.15</v>
      </c>
      <c r="C119" s="1964" t="s">
        <v>808</v>
      </c>
      <c r="D119" s="1953"/>
      <c r="E119" s="1943"/>
      <c r="F119" s="1943"/>
      <c r="G119" s="1944">
        <f t="shared" si="70"/>
        <v>0</v>
      </c>
      <c r="H119" s="694">
        <f t="shared" si="54"/>
        <v>0</v>
      </c>
      <c r="I119" s="1945">
        <v>7</v>
      </c>
      <c r="J119" s="1946">
        <v>0.7</v>
      </c>
      <c r="K119" s="1946">
        <v>0.05</v>
      </c>
      <c r="L119" s="755">
        <f>I119*1.3</f>
        <v>9.1</v>
      </c>
      <c r="M119" s="1954">
        <v>0.2</v>
      </c>
      <c r="N119" s="1949">
        <v>100</v>
      </c>
      <c r="O119" s="1949">
        <v>30</v>
      </c>
      <c r="P119" s="1949">
        <v>0.01</v>
      </c>
      <c r="Q119" s="1949">
        <v>0.15</v>
      </c>
      <c r="R119" s="1949">
        <v>0.1</v>
      </c>
      <c r="S119" s="1966">
        <v>0.01</v>
      </c>
      <c r="T119" s="1931"/>
      <c r="U119" s="1967">
        <f t="shared" si="53"/>
        <v>11.199999999999976</v>
      </c>
      <c r="V119" s="970">
        <f t="shared" si="52"/>
        <v>317.51439999999934</v>
      </c>
      <c r="W119" s="651"/>
      <c r="X119" s="703">
        <f t="shared" si="56"/>
        <v>0</v>
      </c>
      <c r="Y119" s="704">
        <f t="shared" si="57"/>
        <v>0</v>
      </c>
      <c r="Z119" s="704">
        <f t="shared" si="58"/>
        <v>0</v>
      </c>
      <c r="AA119" s="704">
        <f t="shared" si="59"/>
        <v>0</v>
      </c>
      <c r="AB119" s="704">
        <f t="shared" si="60"/>
        <v>0</v>
      </c>
      <c r="AC119" s="705">
        <f t="shared" si="61"/>
        <v>0</v>
      </c>
      <c r="AD119" s="705">
        <f t="shared" si="62"/>
        <v>0</v>
      </c>
      <c r="AE119" s="705">
        <f t="shared" si="63"/>
        <v>0</v>
      </c>
      <c r="AF119" s="705">
        <f t="shared" si="64"/>
        <v>0</v>
      </c>
      <c r="AG119" s="705">
        <f t="shared" si="65"/>
        <v>0</v>
      </c>
      <c r="AH119" s="706">
        <f t="shared" si="66"/>
        <v>0</v>
      </c>
      <c r="AI119" s="648"/>
      <c r="AJ119" s="705">
        <f t="shared" si="67"/>
        <v>0</v>
      </c>
      <c r="AK119" s="705">
        <f t="shared" si="68"/>
        <v>0</v>
      </c>
      <c r="AL119" s="722">
        <f t="shared" si="69"/>
        <v>0</v>
      </c>
      <c r="AM119" s="733">
        <v>10</v>
      </c>
      <c r="AN119" s="733">
        <v>10</v>
      </c>
      <c r="AO119" s="733">
        <v>8</v>
      </c>
      <c r="AQ119" s="740" t="s">
        <v>748</v>
      </c>
      <c r="AR119" s="743"/>
      <c r="AS119" s="744"/>
      <c r="AT119" s="744"/>
      <c r="AU119" s="744"/>
    </row>
    <row r="120" spans="1:47" ht="13.5">
      <c r="A120" s="651"/>
      <c r="B120" s="1952">
        <v>0.2</v>
      </c>
      <c r="C120" s="1964" t="s">
        <v>822</v>
      </c>
      <c r="D120" s="1953"/>
      <c r="E120" s="1943"/>
      <c r="F120" s="1943"/>
      <c r="G120" s="1944">
        <f t="shared" si="70"/>
        <v>0</v>
      </c>
      <c r="H120" s="694">
        <f t="shared" si="54"/>
        <v>0</v>
      </c>
      <c r="I120" s="1947">
        <v>24</v>
      </c>
      <c r="J120" s="1946">
        <v>0.6</v>
      </c>
      <c r="K120" s="1946">
        <v>0.05</v>
      </c>
      <c r="L120" s="753">
        <f>I120*1.1</f>
        <v>26.400000000000002</v>
      </c>
      <c r="M120" s="1954">
        <v>0.2</v>
      </c>
      <c r="N120" s="1949">
        <v>100</v>
      </c>
      <c r="O120" s="1950">
        <v>86</v>
      </c>
      <c r="P120" s="1950">
        <v>0.02</v>
      </c>
      <c r="Q120" s="1950">
        <v>0.06</v>
      </c>
      <c r="R120" s="1950">
        <v>0.179</v>
      </c>
      <c r="S120" s="1951">
        <v>0.05</v>
      </c>
      <c r="T120" s="1931"/>
      <c r="U120" s="1967">
        <f t="shared" si="53"/>
        <v>11.299999999999976</v>
      </c>
      <c r="V120" s="970">
        <f t="shared" si="52"/>
        <v>320.3493499999993</v>
      </c>
      <c r="W120" s="651"/>
      <c r="X120" s="703">
        <f t="shared" si="56"/>
        <v>0</v>
      </c>
      <c r="Y120" s="704">
        <f t="shared" si="57"/>
        <v>0</v>
      </c>
      <c r="Z120" s="704">
        <f t="shared" si="58"/>
        <v>0</v>
      </c>
      <c r="AA120" s="704">
        <f t="shared" si="59"/>
        <v>0</v>
      </c>
      <c r="AB120" s="704">
        <f t="shared" si="60"/>
        <v>0</v>
      </c>
      <c r="AC120" s="705">
        <f t="shared" si="61"/>
        <v>0</v>
      </c>
      <c r="AD120" s="705">
        <f t="shared" si="62"/>
        <v>0</v>
      </c>
      <c r="AE120" s="705">
        <f t="shared" si="63"/>
        <v>0</v>
      </c>
      <c r="AF120" s="705">
        <f t="shared" si="64"/>
        <v>0</v>
      </c>
      <c r="AG120" s="705">
        <f t="shared" si="65"/>
        <v>0</v>
      </c>
      <c r="AH120" s="706">
        <f t="shared" si="66"/>
        <v>0</v>
      </c>
      <c r="AI120" s="648"/>
      <c r="AJ120" s="705">
        <f t="shared" si="67"/>
        <v>0</v>
      </c>
      <c r="AK120" s="705">
        <f t="shared" si="68"/>
        <v>0</v>
      </c>
      <c r="AL120" s="722">
        <f t="shared" si="69"/>
        <v>0</v>
      </c>
      <c r="AM120" s="720">
        <v>13</v>
      </c>
      <c r="AN120" s="650">
        <v>8</v>
      </c>
      <c r="AO120" s="650">
        <v>12</v>
      </c>
      <c r="AQ120" s="740" t="s">
        <v>107</v>
      </c>
      <c r="AR120" s="743"/>
      <c r="AS120" s="744"/>
      <c r="AT120" s="744"/>
      <c r="AU120" s="744"/>
    </row>
    <row r="121" spans="1:47" ht="13.5">
      <c r="A121" s="651"/>
      <c r="B121" s="1952">
        <v>0.15</v>
      </c>
      <c r="C121" s="1964" t="s">
        <v>811</v>
      </c>
      <c r="D121" s="1953"/>
      <c r="E121" s="1943"/>
      <c r="F121" s="1943"/>
      <c r="G121" s="1944">
        <f t="shared" si="70"/>
        <v>0</v>
      </c>
      <c r="H121" s="694">
        <f t="shared" si="54"/>
        <v>0</v>
      </c>
      <c r="I121" s="1945">
        <v>8</v>
      </c>
      <c r="J121" s="1946">
        <v>0.5</v>
      </c>
      <c r="K121" s="1946">
        <v>0.05</v>
      </c>
      <c r="L121" s="755">
        <f>I121*1.1</f>
        <v>8.8</v>
      </c>
      <c r="M121" s="1954">
        <v>0.2</v>
      </c>
      <c r="N121" s="1949">
        <v>100</v>
      </c>
      <c r="O121" s="1950">
        <v>170</v>
      </c>
      <c r="P121" s="1950">
        <v>0.053</v>
      </c>
      <c r="Q121" s="1950">
        <v>0.446</v>
      </c>
      <c r="R121" s="1950">
        <v>0.125</v>
      </c>
      <c r="S121" s="1951">
        <v>0.042</v>
      </c>
      <c r="T121" s="1931"/>
      <c r="U121" s="1967">
        <f t="shared" si="53"/>
        <v>11.399999999999975</v>
      </c>
      <c r="V121" s="970">
        <f t="shared" si="52"/>
        <v>323.18429999999927</v>
      </c>
      <c r="W121" s="734"/>
      <c r="X121" s="703">
        <f t="shared" si="56"/>
        <v>0</v>
      </c>
      <c r="Y121" s="704">
        <f t="shared" si="57"/>
        <v>0</v>
      </c>
      <c r="Z121" s="704">
        <f t="shared" si="58"/>
        <v>0</v>
      </c>
      <c r="AA121" s="704">
        <f t="shared" si="59"/>
        <v>0</v>
      </c>
      <c r="AB121" s="704">
        <f t="shared" si="60"/>
        <v>0</v>
      </c>
      <c r="AC121" s="705">
        <f t="shared" si="61"/>
        <v>0</v>
      </c>
      <c r="AD121" s="705">
        <f t="shared" si="62"/>
        <v>0</v>
      </c>
      <c r="AE121" s="705">
        <f t="shared" si="63"/>
        <v>0</v>
      </c>
      <c r="AF121" s="705">
        <f t="shared" si="64"/>
        <v>0</v>
      </c>
      <c r="AG121" s="705">
        <f t="shared" si="65"/>
        <v>0</v>
      </c>
      <c r="AH121" s="706">
        <f t="shared" si="66"/>
        <v>0</v>
      </c>
      <c r="AI121" s="648"/>
      <c r="AJ121" s="705">
        <f t="shared" si="67"/>
        <v>0</v>
      </c>
      <c r="AK121" s="705">
        <f t="shared" si="68"/>
        <v>0</v>
      </c>
      <c r="AL121" s="722">
        <f t="shared" si="69"/>
        <v>0</v>
      </c>
      <c r="AM121" s="720">
        <v>18</v>
      </c>
      <c r="AN121" s="650">
        <v>8</v>
      </c>
      <c r="AO121" s="650">
        <v>14</v>
      </c>
      <c r="AQ121" s="754" t="s">
        <v>107</v>
      </c>
      <c r="AR121" s="743"/>
      <c r="AS121" s="744"/>
      <c r="AT121" s="744"/>
      <c r="AU121" s="744"/>
    </row>
    <row r="122" spans="1:47" ht="13.5">
      <c r="A122" s="651"/>
      <c r="B122" s="1952"/>
      <c r="C122" s="1964" t="s">
        <v>305</v>
      </c>
      <c r="D122" s="1953"/>
      <c r="E122" s="1943"/>
      <c r="F122" s="1943"/>
      <c r="G122" s="1944">
        <f t="shared" si="70"/>
        <v>0</v>
      </c>
      <c r="H122" s="694">
        <f t="shared" si="54"/>
        <v>0</v>
      </c>
      <c r="I122" s="1945"/>
      <c r="J122" s="1945"/>
      <c r="K122" s="1945"/>
      <c r="L122" s="711"/>
      <c r="M122" s="711"/>
      <c r="N122" s="1950"/>
      <c r="O122" s="1950"/>
      <c r="P122" s="1950"/>
      <c r="Q122" s="1950"/>
      <c r="R122" s="1950"/>
      <c r="S122" s="1951"/>
      <c r="T122" s="1931"/>
      <c r="U122" s="1967">
        <f t="shared" si="53"/>
        <v>11.499999999999975</v>
      </c>
      <c r="V122" s="970">
        <f t="shared" si="52"/>
        <v>326.01924999999926</v>
      </c>
      <c r="W122" s="651"/>
      <c r="X122" s="703">
        <f t="shared" si="56"/>
        <v>0</v>
      </c>
      <c r="Y122" s="704">
        <f t="shared" si="57"/>
        <v>0</v>
      </c>
      <c r="Z122" s="704">
        <f t="shared" si="58"/>
        <v>0</v>
      </c>
      <c r="AA122" s="704">
        <f t="shared" si="59"/>
        <v>0</v>
      </c>
      <c r="AB122" s="704">
        <f t="shared" si="60"/>
        <v>0</v>
      </c>
      <c r="AC122" s="705">
        <f t="shared" si="61"/>
        <v>0</v>
      </c>
      <c r="AD122" s="705">
        <f t="shared" si="62"/>
        <v>0</v>
      </c>
      <c r="AE122" s="705">
        <f t="shared" si="63"/>
        <v>0</v>
      </c>
      <c r="AF122" s="705">
        <f t="shared" si="64"/>
        <v>0</v>
      </c>
      <c r="AG122" s="705">
        <f t="shared" si="65"/>
        <v>0</v>
      </c>
      <c r="AH122" s="706">
        <f t="shared" si="66"/>
        <v>0</v>
      </c>
      <c r="AI122" s="648"/>
      <c r="AJ122" s="705">
        <f t="shared" si="67"/>
        <v>0</v>
      </c>
      <c r="AK122" s="705">
        <f t="shared" si="68"/>
        <v>0</v>
      </c>
      <c r="AL122" s="722">
        <f t="shared" si="69"/>
        <v>0</v>
      </c>
      <c r="AM122" s="720"/>
      <c r="AQ122" s="754"/>
      <c r="AR122" s="743"/>
      <c r="AS122" s="744"/>
      <c r="AT122" s="744"/>
      <c r="AU122" s="744"/>
    </row>
    <row r="123" spans="1:47" ht="13.5">
      <c r="A123" s="641"/>
      <c r="B123" s="1958"/>
      <c r="C123" s="1980"/>
      <c r="D123" s="1959"/>
      <c r="E123" s="1978"/>
      <c r="F123" s="1978"/>
      <c r="G123" s="1979"/>
      <c r="H123" s="1959"/>
      <c r="I123" s="1981"/>
      <c r="J123" s="1981"/>
      <c r="K123" s="1981"/>
      <c r="L123" s="756"/>
      <c r="M123" s="756"/>
      <c r="N123" s="1975"/>
      <c r="O123" s="1975"/>
      <c r="P123" s="1975"/>
      <c r="Q123" s="1975"/>
      <c r="R123" s="1975"/>
      <c r="S123" s="1973"/>
      <c r="T123" s="902"/>
      <c r="U123" s="1967">
        <f t="shared" si="53"/>
        <v>11.599999999999975</v>
      </c>
      <c r="V123" s="970">
        <f>U123*28.3495</f>
        <v>328.85419999999925</v>
      </c>
      <c r="W123" s="641"/>
      <c r="X123" s="703"/>
      <c r="Y123" s="704"/>
      <c r="Z123" s="704"/>
      <c r="AA123" s="704"/>
      <c r="AB123" s="705"/>
      <c r="AC123" s="705"/>
      <c r="AD123" s="747"/>
      <c r="AE123" s="748"/>
      <c r="AF123" s="748"/>
      <c r="AG123" s="749"/>
      <c r="AH123" s="750"/>
      <c r="AI123" s="646"/>
      <c r="AJ123" s="705"/>
      <c r="AK123" s="705"/>
      <c r="AL123" s="757"/>
      <c r="AQ123" s="754"/>
      <c r="AR123" s="743"/>
      <c r="AS123" s="744"/>
      <c r="AT123" s="744"/>
      <c r="AU123" s="744"/>
    </row>
    <row r="124" spans="1:47" ht="13.5">
      <c r="A124" s="641"/>
      <c r="B124" s="1958"/>
      <c r="C124" s="2952" t="s">
        <v>206</v>
      </c>
      <c r="D124" s="2953"/>
      <c r="E124" s="2953"/>
      <c r="F124" s="2953"/>
      <c r="G124" s="2954"/>
      <c r="H124" s="1959"/>
      <c r="I124" s="1290" t="s">
        <v>585</v>
      </c>
      <c r="J124" s="1287"/>
      <c r="K124" s="2955" t="s">
        <v>949</v>
      </c>
      <c r="L124" s="2955"/>
      <c r="M124" s="1293">
        <v>140</v>
      </c>
      <c r="N124" s="2989" t="s">
        <v>121</v>
      </c>
      <c r="O124" s="2989"/>
      <c r="P124" s="2955" t="s">
        <v>948</v>
      </c>
      <c r="Q124" s="2955"/>
      <c r="R124" s="1293">
        <v>8</v>
      </c>
      <c r="S124" s="1982"/>
      <c r="T124" s="902"/>
      <c r="U124" s="1967">
        <f>U123+0.1</f>
        <v>11.699999999999974</v>
      </c>
      <c r="V124" s="970">
        <f>U124*28.3495</f>
        <v>331.68914999999924</v>
      </c>
      <c r="W124" s="641"/>
      <c r="X124" s="703"/>
      <c r="Y124" s="704"/>
      <c r="Z124" s="704"/>
      <c r="AA124" s="704"/>
      <c r="AB124" s="705"/>
      <c r="AC124" s="705"/>
      <c r="AD124" s="747"/>
      <c r="AE124" s="748"/>
      <c r="AF124" s="748"/>
      <c r="AG124" s="749"/>
      <c r="AH124" s="750"/>
      <c r="AI124" s="646"/>
      <c r="AJ124" s="705"/>
      <c r="AK124" s="705"/>
      <c r="AL124" s="757"/>
      <c r="AQ124" s="754"/>
      <c r="AR124" s="743"/>
      <c r="AS124" s="744"/>
      <c r="AT124" s="744"/>
      <c r="AU124" s="744"/>
    </row>
    <row r="125" spans="1:47" ht="13.5">
      <c r="A125" s="641"/>
      <c r="B125" s="1958"/>
      <c r="C125" s="1980"/>
      <c r="D125" s="1959"/>
      <c r="E125" s="1978"/>
      <c r="F125" s="1978"/>
      <c r="G125" s="1979"/>
      <c r="H125" s="1959"/>
      <c r="I125" s="1291"/>
      <c r="J125" s="1287"/>
      <c r="K125" s="2955" t="s">
        <v>1612</v>
      </c>
      <c r="L125" s="2955"/>
      <c r="M125" s="1293">
        <v>34</v>
      </c>
      <c r="N125" s="2947" t="str">
        <f>FIXED(100*M125/M124,0)&amp;"g/100ml"</f>
        <v>24g/100ml</v>
      </c>
      <c r="O125" s="2947"/>
      <c r="P125" s="2955" t="s">
        <v>947</v>
      </c>
      <c r="Q125" s="2955"/>
      <c r="R125" s="1293">
        <v>28</v>
      </c>
      <c r="S125" s="1288" t="str">
        <f>FIXED((100*R125/R124)/29.5735,0)&amp;"g/100ml"</f>
        <v>12g/100ml</v>
      </c>
      <c r="T125" s="902"/>
      <c r="U125" s="1967">
        <f>U124+0.1</f>
        <v>11.799999999999974</v>
      </c>
      <c r="V125" s="970">
        <f>U125*28.3495</f>
        <v>334.52409999999924</v>
      </c>
      <c r="W125" s="641"/>
      <c r="X125" s="703"/>
      <c r="Y125" s="704"/>
      <c r="Z125" s="704"/>
      <c r="AA125" s="704"/>
      <c r="AB125" s="705"/>
      <c r="AC125" s="705"/>
      <c r="AD125" s="747"/>
      <c r="AE125" s="748"/>
      <c r="AF125" s="748"/>
      <c r="AG125" s="749"/>
      <c r="AH125" s="750"/>
      <c r="AI125" s="646"/>
      <c r="AJ125" s="705"/>
      <c r="AK125" s="705"/>
      <c r="AL125" s="757"/>
      <c r="AQ125" s="754"/>
      <c r="AR125" s="743"/>
      <c r="AS125" s="744"/>
      <c r="AT125" s="744"/>
      <c r="AU125" s="744"/>
    </row>
    <row r="126" spans="1:47" ht="13.5">
      <c r="A126" s="641"/>
      <c r="B126" s="1958"/>
      <c r="C126" s="1980"/>
      <c r="D126" s="1959"/>
      <c r="E126" s="1978"/>
      <c r="F126" s="1978"/>
      <c r="G126" s="1979"/>
      <c r="H126" s="1959"/>
      <c r="I126" s="1291"/>
      <c r="J126" s="1287"/>
      <c r="K126" s="2955" t="s">
        <v>1611</v>
      </c>
      <c r="L126" s="2955"/>
      <c r="M126" s="1293">
        <v>11</v>
      </c>
      <c r="N126" s="2947" t="str">
        <f>FIXED(100*M126/M124,0)&amp;"g/100ml"</f>
        <v>8g/100ml</v>
      </c>
      <c r="O126" s="2947"/>
      <c r="P126" s="2955" t="s">
        <v>946</v>
      </c>
      <c r="Q126" s="2955"/>
      <c r="R126" s="1293">
        <v>29</v>
      </c>
      <c r="S126" s="1288" t="str">
        <f>FIXED((100*R126/R124)/29.5735,0)&amp;"g/100ml"</f>
        <v>12g/100ml</v>
      </c>
      <c r="T126" s="902"/>
      <c r="U126" s="1967">
        <f>U125+0.1</f>
        <v>11.899999999999974</v>
      </c>
      <c r="V126" s="970">
        <f>U126*28.3495</f>
        <v>337.35904999999923</v>
      </c>
      <c r="W126" s="641"/>
      <c r="X126" s="703"/>
      <c r="Y126" s="704"/>
      <c r="Z126" s="704"/>
      <c r="AA126" s="704"/>
      <c r="AB126" s="705"/>
      <c r="AC126" s="705"/>
      <c r="AD126" s="747"/>
      <c r="AE126" s="748"/>
      <c r="AF126" s="748"/>
      <c r="AG126" s="749"/>
      <c r="AH126" s="750"/>
      <c r="AI126" s="646"/>
      <c r="AJ126" s="705"/>
      <c r="AK126" s="705"/>
      <c r="AL126" s="757"/>
      <c r="AQ126" s="754"/>
      <c r="AR126" s="743"/>
      <c r="AS126" s="744"/>
      <c r="AT126" s="744"/>
      <c r="AU126" s="744"/>
    </row>
    <row r="127" spans="1:47" ht="13.5">
      <c r="A127" s="641"/>
      <c r="B127" s="1960" t="s">
        <v>700</v>
      </c>
      <c r="C127" s="1977"/>
      <c r="D127" s="1978" t="s">
        <v>823</v>
      </c>
      <c r="E127" s="1292"/>
      <c r="F127" s="1292" t="s">
        <v>388</v>
      </c>
      <c r="G127" s="951" t="s">
        <v>824</v>
      </c>
      <c r="H127" s="1978"/>
      <c r="I127" s="688" t="s">
        <v>702</v>
      </c>
      <c r="J127" s="716" t="s">
        <v>286</v>
      </c>
      <c r="K127" s="716" t="s">
        <v>703</v>
      </c>
      <c r="L127" s="716" t="s">
        <v>704</v>
      </c>
      <c r="M127" s="716" t="s">
        <v>705</v>
      </c>
      <c r="N127" s="689" t="s">
        <v>706</v>
      </c>
      <c r="O127" s="688" t="s">
        <v>707</v>
      </c>
      <c r="P127" s="690" t="s">
        <v>708</v>
      </c>
      <c r="Q127" s="690" t="s">
        <v>709</v>
      </c>
      <c r="R127" s="690" t="s">
        <v>710</v>
      </c>
      <c r="S127" s="717" t="s">
        <v>711</v>
      </c>
      <c r="T127" s="902"/>
      <c r="U127" s="1967">
        <f>U126+0.1</f>
        <v>11.999999999999973</v>
      </c>
      <c r="V127" s="970">
        <f>U127*28.3495</f>
        <v>340.1939999999992</v>
      </c>
      <c r="W127" s="641"/>
      <c r="X127" s="691" t="s">
        <v>702</v>
      </c>
      <c r="Y127" s="716" t="s">
        <v>286</v>
      </c>
      <c r="Z127" s="716" t="s">
        <v>703</v>
      </c>
      <c r="AA127" s="716" t="s">
        <v>704</v>
      </c>
      <c r="AB127" s="716" t="s">
        <v>705</v>
      </c>
      <c r="AC127" s="688" t="s">
        <v>712</v>
      </c>
      <c r="AD127" s="688" t="s">
        <v>713</v>
      </c>
      <c r="AE127" s="690" t="s">
        <v>708</v>
      </c>
      <c r="AF127" s="690" t="s">
        <v>709</v>
      </c>
      <c r="AG127" s="690" t="s">
        <v>710</v>
      </c>
      <c r="AH127" s="717" t="s">
        <v>711</v>
      </c>
      <c r="AI127" s="646"/>
      <c r="AJ127" s="688" t="s">
        <v>714</v>
      </c>
      <c r="AK127" s="688" t="s">
        <v>715</v>
      </c>
      <c r="AL127" s="689" t="s">
        <v>716</v>
      </c>
      <c r="AQ127" s="719" t="s">
        <v>727</v>
      </c>
      <c r="AR127" s="743"/>
      <c r="AS127" s="744"/>
      <c r="AT127" s="744"/>
      <c r="AU127" s="744"/>
    </row>
    <row r="128" spans="1:47" ht="13.5">
      <c r="A128" s="641"/>
      <c r="B128" s="1283" t="s">
        <v>729</v>
      </c>
      <c r="C128" s="1289" t="s">
        <v>825</v>
      </c>
      <c r="D128" s="686"/>
      <c r="E128" s="1292"/>
      <c r="F128" s="1292" t="s">
        <v>95</v>
      </c>
      <c r="G128" s="951" t="s">
        <v>306</v>
      </c>
      <c r="H128" s="687"/>
      <c r="I128" s="752" t="s">
        <v>826</v>
      </c>
      <c r="J128" s="688" t="s">
        <v>291</v>
      </c>
      <c r="K128" s="688" t="s">
        <v>291</v>
      </c>
      <c r="L128" s="688" t="s">
        <v>291</v>
      </c>
      <c r="M128" s="689" t="s">
        <v>291</v>
      </c>
      <c r="N128" s="2967" t="s">
        <v>698</v>
      </c>
      <c r="O128" s="2968"/>
      <c r="P128" s="2968"/>
      <c r="Q128" s="2968"/>
      <c r="R128" s="2968"/>
      <c r="S128" s="2969"/>
      <c r="T128" s="902"/>
      <c r="U128" s="1967">
        <f t="shared" si="53"/>
        <v>12.099999999999973</v>
      </c>
      <c r="V128" s="970">
        <f t="shared" si="52"/>
        <v>343.0289499999992</v>
      </c>
      <c r="W128" s="641"/>
      <c r="X128" s="691" t="s">
        <v>290</v>
      </c>
      <c r="Y128" s="688" t="s">
        <v>290</v>
      </c>
      <c r="Z128" s="688" t="s">
        <v>290</v>
      </c>
      <c r="AA128" s="688" t="s">
        <v>290</v>
      </c>
      <c r="AB128" s="688" t="s">
        <v>290</v>
      </c>
      <c r="AC128" s="688" t="s">
        <v>290</v>
      </c>
      <c r="AD128" s="688" t="s">
        <v>290</v>
      </c>
      <c r="AE128" s="688" t="s">
        <v>290</v>
      </c>
      <c r="AF128" s="688" t="s">
        <v>290</v>
      </c>
      <c r="AG128" s="688" t="s">
        <v>290</v>
      </c>
      <c r="AH128" s="692" t="s">
        <v>290</v>
      </c>
      <c r="AI128" s="646"/>
      <c r="AJ128" s="688" t="s">
        <v>290</v>
      </c>
      <c r="AK128" s="688" t="s">
        <v>290</v>
      </c>
      <c r="AL128" s="689" t="s">
        <v>290</v>
      </c>
      <c r="AM128" s="684" t="s">
        <v>714</v>
      </c>
      <c r="AN128" s="684" t="s">
        <v>715</v>
      </c>
      <c r="AO128" s="684" t="s">
        <v>717</v>
      </c>
      <c r="AQ128" s="719" t="s">
        <v>745</v>
      </c>
      <c r="AR128" s="743"/>
      <c r="AS128" s="744"/>
      <c r="AT128" s="744"/>
      <c r="AU128" s="744"/>
    </row>
    <row r="129" spans="1:47" ht="13.5">
      <c r="A129" s="651"/>
      <c r="B129" s="1952">
        <v>0</v>
      </c>
      <c r="C129" s="1983" t="s">
        <v>746</v>
      </c>
      <c r="D129" s="694"/>
      <c r="E129" s="1275"/>
      <c r="F129" s="1984"/>
      <c r="G129" s="1944">
        <f>F129*29.5735</f>
        <v>0</v>
      </c>
      <c r="H129" s="758">
        <f>B129*G129</f>
        <v>0</v>
      </c>
      <c r="I129" s="1947">
        <v>11</v>
      </c>
      <c r="J129" s="1947">
        <v>0.69</v>
      </c>
      <c r="K129" s="1946">
        <v>0.01</v>
      </c>
      <c r="L129" s="753">
        <f aca="true" t="shared" si="71" ref="L129:L139">I129*1.01</f>
        <v>11.11</v>
      </c>
      <c r="M129" s="1948">
        <v>0.2</v>
      </c>
      <c r="N129" s="1949">
        <v>0</v>
      </c>
      <c r="O129" s="1950">
        <v>115</v>
      </c>
      <c r="P129" s="1950">
        <v>0.02</v>
      </c>
      <c r="Q129" s="1950">
        <v>0.1</v>
      </c>
      <c r="R129" s="1950">
        <v>0.049</v>
      </c>
      <c r="S129" s="1951">
        <v>0.03</v>
      </c>
      <c r="T129" s="1931"/>
      <c r="U129" s="1967">
        <f t="shared" si="53"/>
        <v>12.199999999999973</v>
      </c>
      <c r="V129" s="970">
        <f t="shared" si="52"/>
        <v>345.8638999999992</v>
      </c>
      <c r="W129" s="651"/>
      <c r="X129" s="759">
        <f>($G129*I129/100)</f>
        <v>0</v>
      </c>
      <c r="Y129" s="704">
        <f>($G129*(1+J129*0.00375)*J129/100)</f>
        <v>0</v>
      </c>
      <c r="Z129" s="704">
        <f>($G129*(1+K129*0.00375)*K129/100)</f>
        <v>0</v>
      </c>
      <c r="AA129" s="704">
        <f>G129*(L129-I129)/100</f>
        <v>0</v>
      </c>
      <c r="AB129" s="704">
        <f>G129*M129/1200</f>
        <v>0</v>
      </c>
      <c r="AC129" s="705">
        <f aca="true" t="shared" si="72" ref="AC129:AH129">$G129*N129/100</f>
        <v>0</v>
      </c>
      <c r="AD129" s="705">
        <f t="shared" si="72"/>
        <v>0</v>
      </c>
      <c r="AE129" s="705">
        <f t="shared" si="72"/>
        <v>0</v>
      </c>
      <c r="AF129" s="705">
        <f t="shared" si="72"/>
        <v>0</v>
      </c>
      <c r="AG129" s="705">
        <f t="shared" si="72"/>
        <v>0</v>
      </c>
      <c r="AH129" s="706">
        <f t="shared" si="72"/>
        <v>0</v>
      </c>
      <c r="AI129" s="648"/>
      <c r="AJ129" s="705">
        <f>$G129*AM129/100</f>
        <v>0</v>
      </c>
      <c r="AK129" s="705">
        <f>$G129*AN129/100</f>
        <v>0</v>
      </c>
      <c r="AL129" s="722">
        <f>$G129*AO129/100</f>
        <v>0</v>
      </c>
      <c r="AM129" s="720">
        <v>7</v>
      </c>
      <c r="AN129" s="650">
        <v>3</v>
      </c>
      <c r="AO129" s="650">
        <v>7</v>
      </c>
      <c r="AQ129" s="736"/>
      <c r="AR129" s="743"/>
      <c r="AS129" s="744"/>
      <c r="AT129" s="744"/>
      <c r="AU129" s="744"/>
    </row>
    <row r="130" spans="1:47" ht="13.5">
      <c r="A130" s="651"/>
      <c r="B130" s="1952">
        <v>0</v>
      </c>
      <c r="C130" s="1983" t="s">
        <v>768</v>
      </c>
      <c r="D130" s="694"/>
      <c r="E130" s="1275"/>
      <c r="F130" s="1984"/>
      <c r="G130" s="1944">
        <f aca="true" t="shared" si="73" ref="G130:G141">F130*29.5735</f>
        <v>0</v>
      </c>
      <c r="H130" s="758">
        <f aca="true" t="shared" si="74" ref="H130:H140">B130*G130</f>
        <v>0</v>
      </c>
      <c r="I130" s="1946">
        <v>12</v>
      </c>
      <c r="J130" s="1985">
        <v>0.8</v>
      </c>
      <c r="K130" s="1946">
        <v>0.2</v>
      </c>
      <c r="L130" s="753">
        <f t="shared" si="71"/>
        <v>12.120000000000001</v>
      </c>
      <c r="M130" s="1954">
        <v>0.2</v>
      </c>
      <c r="N130" s="1950">
        <v>0.1</v>
      </c>
      <c r="O130" s="1950">
        <v>75</v>
      </c>
      <c r="P130" s="1950">
        <v>0.009</v>
      </c>
      <c r="Q130" s="1950">
        <v>0.091</v>
      </c>
      <c r="R130" s="1950">
        <v>0</v>
      </c>
      <c r="S130" s="1951">
        <v>0.052</v>
      </c>
      <c r="T130" s="1931"/>
      <c r="U130" s="1967">
        <f t="shared" si="53"/>
        <v>12.299999999999972</v>
      </c>
      <c r="V130" s="970">
        <f t="shared" si="52"/>
        <v>348.6988499999992</v>
      </c>
      <c r="W130" s="651"/>
      <c r="X130" s="759">
        <f aca="true" t="shared" si="75" ref="X130:X140">($G130*I130/100)</f>
        <v>0</v>
      </c>
      <c r="Y130" s="704">
        <f aca="true" t="shared" si="76" ref="Y130:Y140">($G130*(1+J130*0.00375)*J130/100)</f>
        <v>0</v>
      </c>
      <c r="Z130" s="704">
        <f aca="true" t="shared" si="77" ref="Z130:Z140">($G130*(1+K130*0.00375)*K130/100)</f>
        <v>0</v>
      </c>
      <c r="AA130" s="704">
        <f aca="true" t="shared" si="78" ref="AA130:AA140">G130*(L130-I130)/100</f>
        <v>0</v>
      </c>
      <c r="AB130" s="704">
        <f aca="true" t="shared" si="79" ref="AB130:AB140">G130*M130/1200</f>
        <v>0</v>
      </c>
      <c r="AC130" s="705">
        <f aca="true" t="shared" si="80" ref="AC130:AC140">$G130*N130/100</f>
        <v>0</v>
      </c>
      <c r="AD130" s="705">
        <f aca="true" t="shared" si="81" ref="AD130:AD140">$G130*O130/100</f>
        <v>0</v>
      </c>
      <c r="AE130" s="705">
        <f aca="true" t="shared" si="82" ref="AE130:AE140">$G130*P130/100</f>
        <v>0</v>
      </c>
      <c r="AF130" s="705">
        <f aca="true" t="shared" si="83" ref="AF130:AF140">$G130*Q130/100</f>
        <v>0</v>
      </c>
      <c r="AG130" s="705">
        <f aca="true" t="shared" si="84" ref="AG130:AG140">$G130*R130/100</f>
        <v>0</v>
      </c>
      <c r="AH130" s="706">
        <f aca="true" t="shared" si="85" ref="AH130:AH140">$G130*S130/100</f>
        <v>0</v>
      </c>
      <c r="AI130" s="648"/>
      <c r="AJ130" s="705">
        <f aca="true" t="shared" si="86" ref="AJ130:AJ140">$G130*AM130/100</f>
        <v>0</v>
      </c>
      <c r="AK130" s="705">
        <f aca="true" t="shared" si="87" ref="AK130:AK140">$G130*AN130/100</f>
        <v>0</v>
      </c>
      <c r="AL130" s="722">
        <f aca="true" t="shared" si="88" ref="AL130:AL140">$G130*AO130/100</f>
        <v>0</v>
      </c>
      <c r="AM130" s="720">
        <v>8</v>
      </c>
      <c r="AN130" s="650">
        <v>6</v>
      </c>
      <c r="AO130" s="650">
        <v>13</v>
      </c>
      <c r="AQ130" s="736"/>
      <c r="AR130" s="743"/>
      <c r="AS130" s="744"/>
      <c r="AT130" s="744"/>
      <c r="AU130" s="744"/>
    </row>
    <row r="131" spans="1:47" ht="13.5">
      <c r="A131" s="651"/>
      <c r="B131" s="1952">
        <v>0</v>
      </c>
      <c r="C131" s="1983" t="s">
        <v>775</v>
      </c>
      <c r="D131" s="1953" t="s">
        <v>780</v>
      </c>
      <c r="E131" s="1275"/>
      <c r="F131" s="1984"/>
      <c r="G131" s="1944">
        <f t="shared" si="73"/>
        <v>0</v>
      </c>
      <c r="H131" s="758">
        <f t="shared" si="74"/>
        <v>0</v>
      </c>
      <c r="I131" s="1947">
        <v>15.6</v>
      </c>
      <c r="J131" s="1947">
        <v>0.72</v>
      </c>
      <c r="K131" s="1947">
        <v>0.02</v>
      </c>
      <c r="L131" s="753">
        <f t="shared" si="71"/>
        <v>15.756</v>
      </c>
      <c r="M131" s="1954">
        <v>0.2</v>
      </c>
      <c r="N131" s="1949">
        <v>380</v>
      </c>
      <c r="O131" s="1950">
        <v>130</v>
      </c>
      <c r="P131" s="1950">
        <v>0.03</v>
      </c>
      <c r="Q131" s="1950">
        <v>0.26</v>
      </c>
      <c r="R131" s="1950">
        <v>0.048</v>
      </c>
      <c r="S131" s="1951">
        <v>0.07</v>
      </c>
      <c r="T131" s="1931"/>
      <c r="U131" s="1967">
        <f t="shared" si="53"/>
        <v>12.399999999999972</v>
      </c>
      <c r="V131" s="970">
        <f t="shared" si="52"/>
        <v>351.5337999999992</v>
      </c>
      <c r="W131" s="651"/>
      <c r="X131" s="759">
        <f t="shared" si="75"/>
        <v>0</v>
      </c>
      <c r="Y131" s="704">
        <f t="shared" si="76"/>
        <v>0</v>
      </c>
      <c r="Z131" s="704">
        <f t="shared" si="77"/>
        <v>0</v>
      </c>
      <c r="AA131" s="704">
        <f t="shared" si="78"/>
        <v>0</v>
      </c>
      <c r="AB131" s="704">
        <f t="shared" si="79"/>
        <v>0</v>
      </c>
      <c r="AC131" s="705">
        <f t="shared" si="80"/>
        <v>0</v>
      </c>
      <c r="AD131" s="705">
        <f t="shared" si="81"/>
        <v>0</v>
      </c>
      <c r="AE131" s="705">
        <f t="shared" si="82"/>
        <v>0</v>
      </c>
      <c r="AF131" s="705">
        <f t="shared" si="83"/>
        <v>0</v>
      </c>
      <c r="AG131" s="705">
        <f t="shared" si="84"/>
        <v>0</v>
      </c>
      <c r="AH131" s="706">
        <f t="shared" si="85"/>
        <v>0</v>
      </c>
      <c r="AI131" s="648"/>
      <c r="AJ131" s="705">
        <f t="shared" si="86"/>
        <v>0</v>
      </c>
      <c r="AK131" s="705">
        <f t="shared" si="87"/>
        <v>0</v>
      </c>
      <c r="AL131" s="722">
        <f t="shared" si="88"/>
        <v>0</v>
      </c>
      <c r="AM131" s="720">
        <v>11</v>
      </c>
      <c r="AN131" s="650">
        <v>10</v>
      </c>
      <c r="AO131" s="650">
        <v>11</v>
      </c>
      <c r="AQ131" s="736" t="s">
        <v>777</v>
      </c>
      <c r="AR131" s="743"/>
      <c r="AS131" s="744"/>
      <c r="AT131" s="744"/>
      <c r="AU131" s="744"/>
    </row>
    <row r="132" spans="1:47" ht="13.5">
      <c r="A132" s="651"/>
      <c r="B132" s="1952">
        <v>0</v>
      </c>
      <c r="C132" s="1983"/>
      <c r="D132" s="1953" t="s">
        <v>767</v>
      </c>
      <c r="E132" s="1275"/>
      <c r="F132" s="1984"/>
      <c r="G132" s="1944">
        <f t="shared" si="73"/>
        <v>0</v>
      </c>
      <c r="H132" s="758">
        <f t="shared" si="74"/>
        <v>0</v>
      </c>
      <c r="I132" s="1947">
        <v>15.6</v>
      </c>
      <c r="J132" s="1947">
        <v>0.72</v>
      </c>
      <c r="K132" s="1946">
        <v>0.2</v>
      </c>
      <c r="L132" s="753">
        <f t="shared" si="71"/>
        <v>15.756</v>
      </c>
      <c r="M132" s="1954">
        <v>0.2</v>
      </c>
      <c r="N132" s="1949">
        <v>380</v>
      </c>
      <c r="O132" s="1950">
        <v>130</v>
      </c>
      <c r="P132" s="1950">
        <v>0.03</v>
      </c>
      <c r="Q132" s="1950">
        <v>0.26</v>
      </c>
      <c r="R132" s="1950">
        <v>0.048</v>
      </c>
      <c r="S132" s="1951">
        <v>0.07</v>
      </c>
      <c r="T132" s="1931"/>
      <c r="U132" s="1967">
        <f t="shared" si="53"/>
        <v>12.499999999999972</v>
      </c>
      <c r="V132" s="970">
        <f t="shared" si="52"/>
        <v>354.3687499999992</v>
      </c>
      <c r="W132" s="651"/>
      <c r="X132" s="759">
        <f t="shared" si="75"/>
        <v>0</v>
      </c>
      <c r="Y132" s="704">
        <f t="shared" si="76"/>
        <v>0</v>
      </c>
      <c r="Z132" s="704">
        <f t="shared" si="77"/>
        <v>0</v>
      </c>
      <c r="AA132" s="704">
        <f t="shared" si="78"/>
        <v>0</v>
      </c>
      <c r="AB132" s="704">
        <f t="shared" si="79"/>
        <v>0</v>
      </c>
      <c r="AC132" s="705">
        <f t="shared" si="80"/>
        <v>0</v>
      </c>
      <c r="AD132" s="705">
        <f t="shared" si="81"/>
        <v>0</v>
      </c>
      <c r="AE132" s="705">
        <f t="shared" si="82"/>
        <v>0</v>
      </c>
      <c r="AF132" s="705">
        <f t="shared" si="83"/>
        <v>0</v>
      </c>
      <c r="AG132" s="705">
        <f t="shared" si="84"/>
        <v>0</v>
      </c>
      <c r="AH132" s="706">
        <f t="shared" si="85"/>
        <v>0</v>
      </c>
      <c r="AI132" s="648"/>
      <c r="AJ132" s="705">
        <f t="shared" si="86"/>
        <v>0</v>
      </c>
      <c r="AK132" s="705">
        <f t="shared" si="87"/>
        <v>0</v>
      </c>
      <c r="AL132" s="722">
        <f t="shared" si="88"/>
        <v>0</v>
      </c>
      <c r="AM132" s="720">
        <v>11</v>
      </c>
      <c r="AN132" s="650">
        <v>10</v>
      </c>
      <c r="AO132" s="650">
        <v>11</v>
      </c>
      <c r="AQ132" s="736" t="s">
        <v>777</v>
      </c>
      <c r="AR132" s="743"/>
      <c r="AS132" s="744"/>
      <c r="AT132" s="744"/>
      <c r="AU132" s="744"/>
    </row>
    <row r="133" spans="1:47" ht="13.5">
      <c r="A133" s="651"/>
      <c r="B133" s="1952">
        <v>0</v>
      </c>
      <c r="C133" s="1983" t="s">
        <v>783</v>
      </c>
      <c r="D133" s="1953"/>
      <c r="E133" s="1275"/>
      <c r="F133" s="1984"/>
      <c r="G133" s="1944">
        <f t="shared" si="73"/>
        <v>0</v>
      </c>
      <c r="H133" s="758">
        <f t="shared" si="74"/>
        <v>0</v>
      </c>
      <c r="I133" s="1947">
        <v>9</v>
      </c>
      <c r="J133" s="1947">
        <v>1.5</v>
      </c>
      <c r="K133" s="1946">
        <v>0.01</v>
      </c>
      <c r="L133" s="753">
        <f t="shared" si="71"/>
        <v>9.09</v>
      </c>
      <c r="M133" s="1954">
        <v>0.2</v>
      </c>
      <c r="N133" s="1949">
        <v>0</v>
      </c>
      <c r="O133" s="1950">
        <v>150</v>
      </c>
      <c r="P133" s="1950">
        <v>0.042</v>
      </c>
      <c r="Q133" s="1950">
        <v>0.231</v>
      </c>
      <c r="R133" s="1950">
        <v>0.13</v>
      </c>
      <c r="S133" s="1951">
        <v>0.02</v>
      </c>
      <c r="T133" s="1931"/>
      <c r="U133" s="1967">
        <f t="shared" si="53"/>
        <v>12.599999999999971</v>
      </c>
      <c r="V133" s="970">
        <f t="shared" si="52"/>
        <v>357.2036999999992</v>
      </c>
      <c r="W133" s="651"/>
      <c r="X133" s="759">
        <f t="shared" si="75"/>
        <v>0</v>
      </c>
      <c r="Y133" s="704">
        <f t="shared" si="76"/>
        <v>0</v>
      </c>
      <c r="Z133" s="704">
        <f t="shared" si="77"/>
        <v>0</v>
      </c>
      <c r="AA133" s="704">
        <f t="shared" si="78"/>
        <v>0</v>
      </c>
      <c r="AB133" s="704">
        <f t="shared" si="79"/>
        <v>0</v>
      </c>
      <c r="AC133" s="705">
        <f t="shared" si="80"/>
        <v>0</v>
      </c>
      <c r="AD133" s="705">
        <f t="shared" si="81"/>
        <v>0</v>
      </c>
      <c r="AE133" s="705">
        <f t="shared" si="82"/>
        <v>0</v>
      </c>
      <c r="AF133" s="705">
        <f t="shared" si="83"/>
        <v>0</v>
      </c>
      <c r="AG133" s="705">
        <f t="shared" si="84"/>
        <v>0</v>
      </c>
      <c r="AH133" s="706">
        <f t="shared" si="85"/>
        <v>0</v>
      </c>
      <c r="AI133" s="648"/>
      <c r="AJ133" s="705">
        <f t="shared" si="86"/>
        <v>0</v>
      </c>
      <c r="AK133" s="705">
        <f t="shared" si="87"/>
        <v>0</v>
      </c>
      <c r="AL133" s="722">
        <f t="shared" si="88"/>
        <v>0</v>
      </c>
      <c r="AM133" s="720">
        <v>7</v>
      </c>
      <c r="AN133" s="650">
        <v>10</v>
      </c>
      <c r="AO133" s="650">
        <v>11</v>
      </c>
      <c r="AQ133" s="754" t="s">
        <v>107</v>
      </c>
      <c r="AR133" s="743"/>
      <c r="AS133" s="744"/>
      <c r="AT133" s="744"/>
      <c r="AU133" s="744"/>
    </row>
    <row r="134" spans="1:47" ht="13.5">
      <c r="A134" s="651"/>
      <c r="B134" s="1952">
        <v>0</v>
      </c>
      <c r="C134" s="1983" t="s">
        <v>827</v>
      </c>
      <c r="D134" s="1953"/>
      <c r="E134" s="1275"/>
      <c r="F134" s="1984"/>
      <c r="G134" s="1944">
        <f t="shared" si="73"/>
        <v>0</v>
      </c>
      <c r="H134" s="758">
        <f t="shared" si="74"/>
        <v>0</v>
      </c>
      <c r="I134" s="1947">
        <v>10</v>
      </c>
      <c r="J134" s="1947">
        <v>0.48</v>
      </c>
      <c r="K134" s="1946">
        <v>0.01</v>
      </c>
      <c r="L134" s="755">
        <f t="shared" si="71"/>
        <v>10.1</v>
      </c>
      <c r="M134" s="1954">
        <v>0.2</v>
      </c>
      <c r="N134" s="1949">
        <v>50</v>
      </c>
      <c r="O134" s="1949">
        <v>150</v>
      </c>
      <c r="P134" s="1950">
        <v>0.04</v>
      </c>
      <c r="Q134" s="1950">
        <v>0.4</v>
      </c>
      <c r="R134" s="1950">
        <v>0.13</v>
      </c>
      <c r="S134" s="1951">
        <v>0.02</v>
      </c>
      <c r="T134" s="1931"/>
      <c r="U134" s="1967">
        <f t="shared" si="53"/>
        <v>12.69999999999997</v>
      </c>
      <c r="V134" s="970">
        <f t="shared" si="52"/>
        <v>360.03864999999917</v>
      </c>
      <c r="W134" s="651"/>
      <c r="X134" s="759">
        <f t="shared" si="75"/>
        <v>0</v>
      </c>
      <c r="Y134" s="704">
        <f t="shared" si="76"/>
        <v>0</v>
      </c>
      <c r="Z134" s="704">
        <f t="shared" si="77"/>
        <v>0</v>
      </c>
      <c r="AA134" s="704">
        <f t="shared" si="78"/>
        <v>0</v>
      </c>
      <c r="AB134" s="704">
        <f t="shared" si="79"/>
        <v>0</v>
      </c>
      <c r="AC134" s="705">
        <f t="shared" si="80"/>
        <v>0</v>
      </c>
      <c r="AD134" s="705">
        <f t="shared" si="81"/>
        <v>0</v>
      </c>
      <c r="AE134" s="705">
        <f t="shared" si="82"/>
        <v>0</v>
      </c>
      <c r="AF134" s="705">
        <f t="shared" si="83"/>
        <v>0</v>
      </c>
      <c r="AG134" s="705">
        <f t="shared" si="84"/>
        <v>0</v>
      </c>
      <c r="AH134" s="706">
        <f t="shared" si="85"/>
        <v>0</v>
      </c>
      <c r="AI134" s="648"/>
      <c r="AJ134" s="705">
        <f t="shared" si="86"/>
        <v>0</v>
      </c>
      <c r="AK134" s="705">
        <f t="shared" si="87"/>
        <v>0</v>
      </c>
      <c r="AL134" s="722">
        <f t="shared" si="88"/>
        <v>0</v>
      </c>
      <c r="AM134" s="733">
        <v>10</v>
      </c>
      <c r="AN134" s="733">
        <v>10</v>
      </c>
      <c r="AO134" s="733">
        <v>11</v>
      </c>
      <c r="AQ134" s="736"/>
      <c r="AR134" s="743"/>
      <c r="AS134" s="744"/>
      <c r="AT134" s="744"/>
      <c r="AU134" s="744"/>
    </row>
    <row r="135" spans="1:47" ht="13.5">
      <c r="A135" s="651"/>
      <c r="B135" s="1952">
        <v>0</v>
      </c>
      <c r="C135" s="1983" t="s">
        <v>795</v>
      </c>
      <c r="D135" s="1953"/>
      <c r="E135" s="1275"/>
      <c r="F135" s="1984"/>
      <c r="G135" s="1944">
        <f>F135*29.5735</f>
        <v>0</v>
      </c>
      <c r="H135" s="758">
        <f t="shared" si="74"/>
        <v>0</v>
      </c>
      <c r="I135" s="1947">
        <v>8.4</v>
      </c>
      <c r="J135" s="1947">
        <v>0.98</v>
      </c>
      <c r="K135" s="1946">
        <v>0.01</v>
      </c>
      <c r="L135" s="753">
        <f t="shared" si="71"/>
        <v>8.484</v>
      </c>
      <c r="M135" s="1954">
        <v>0.2</v>
      </c>
      <c r="N135" s="1949">
        <v>290</v>
      </c>
      <c r="O135" s="1950">
        <v>180</v>
      </c>
      <c r="P135" s="1950">
        <v>0.04</v>
      </c>
      <c r="Q135" s="1950">
        <v>0.2</v>
      </c>
      <c r="R135" s="1950">
        <v>0.18</v>
      </c>
      <c r="S135" s="1951">
        <v>0.03</v>
      </c>
      <c r="T135" s="1931"/>
      <c r="U135" s="1967">
        <f t="shared" si="53"/>
        <v>12.79999999999997</v>
      </c>
      <c r="V135" s="970">
        <f t="shared" si="52"/>
        <v>362.87359999999916</v>
      </c>
      <c r="W135" s="651"/>
      <c r="X135" s="759">
        <f t="shared" si="75"/>
        <v>0</v>
      </c>
      <c r="Y135" s="704">
        <f t="shared" si="76"/>
        <v>0</v>
      </c>
      <c r="Z135" s="704">
        <f t="shared" si="77"/>
        <v>0</v>
      </c>
      <c r="AA135" s="704">
        <f t="shared" si="78"/>
        <v>0</v>
      </c>
      <c r="AB135" s="704">
        <f t="shared" si="79"/>
        <v>0</v>
      </c>
      <c r="AC135" s="705">
        <f t="shared" si="80"/>
        <v>0</v>
      </c>
      <c r="AD135" s="705">
        <f t="shared" si="81"/>
        <v>0</v>
      </c>
      <c r="AE135" s="705">
        <f t="shared" si="82"/>
        <v>0</v>
      </c>
      <c r="AF135" s="705">
        <f t="shared" si="83"/>
        <v>0</v>
      </c>
      <c r="AG135" s="705">
        <f t="shared" si="84"/>
        <v>0</v>
      </c>
      <c r="AH135" s="706">
        <f t="shared" si="85"/>
        <v>0</v>
      </c>
      <c r="AI135" s="648"/>
      <c r="AJ135" s="705">
        <f t="shared" si="86"/>
        <v>0</v>
      </c>
      <c r="AK135" s="705">
        <f t="shared" si="87"/>
        <v>0</v>
      </c>
      <c r="AL135" s="722">
        <f t="shared" si="88"/>
        <v>0</v>
      </c>
      <c r="AM135" s="720">
        <v>10</v>
      </c>
      <c r="AN135" s="650">
        <v>10</v>
      </c>
      <c r="AO135" s="650">
        <v>17</v>
      </c>
      <c r="AQ135" s="754" t="s">
        <v>107</v>
      </c>
      <c r="AR135" s="743"/>
      <c r="AS135" s="744"/>
      <c r="AT135" s="744"/>
      <c r="AU135" s="744"/>
    </row>
    <row r="136" spans="1:47" ht="13.5">
      <c r="A136" s="651"/>
      <c r="B136" s="1952">
        <v>0</v>
      </c>
      <c r="C136" s="1983" t="s">
        <v>828</v>
      </c>
      <c r="D136" s="1953"/>
      <c r="E136" s="1275"/>
      <c r="F136" s="1984"/>
      <c r="G136" s="1944">
        <f t="shared" si="73"/>
        <v>0</v>
      </c>
      <c r="H136" s="758">
        <f t="shared" si="74"/>
        <v>0</v>
      </c>
      <c r="I136" s="1947">
        <v>10.4</v>
      </c>
      <c r="J136" s="1946">
        <v>0.7</v>
      </c>
      <c r="K136" s="1946">
        <v>0.1</v>
      </c>
      <c r="L136" s="755">
        <f t="shared" si="71"/>
        <v>10.504000000000001</v>
      </c>
      <c r="M136" s="1954">
        <v>0.2</v>
      </c>
      <c r="N136" s="1949">
        <v>50</v>
      </c>
      <c r="O136" s="1950">
        <v>135</v>
      </c>
      <c r="P136" s="1949">
        <v>0.04</v>
      </c>
      <c r="Q136" s="1949">
        <v>0.2</v>
      </c>
      <c r="R136" s="1949">
        <v>0.13</v>
      </c>
      <c r="S136" s="1966">
        <v>0.02</v>
      </c>
      <c r="T136" s="1931"/>
      <c r="U136" s="1967">
        <f t="shared" si="53"/>
        <v>12.89999999999997</v>
      </c>
      <c r="V136" s="970">
        <f t="shared" si="52"/>
        <v>365.70854999999915</v>
      </c>
      <c r="W136" s="651"/>
      <c r="X136" s="759">
        <f t="shared" si="75"/>
        <v>0</v>
      </c>
      <c r="Y136" s="704">
        <f t="shared" si="76"/>
        <v>0</v>
      </c>
      <c r="Z136" s="704">
        <f t="shared" si="77"/>
        <v>0</v>
      </c>
      <c r="AA136" s="704">
        <f t="shared" si="78"/>
        <v>0</v>
      </c>
      <c r="AB136" s="704">
        <f t="shared" si="79"/>
        <v>0</v>
      </c>
      <c r="AC136" s="705">
        <f t="shared" si="80"/>
        <v>0</v>
      </c>
      <c r="AD136" s="705">
        <f t="shared" si="81"/>
        <v>0</v>
      </c>
      <c r="AE136" s="705">
        <f t="shared" si="82"/>
        <v>0</v>
      </c>
      <c r="AF136" s="705">
        <f t="shared" si="83"/>
        <v>0</v>
      </c>
      <c r="AG136" s="705">
        <f t="shared" si="84"/>
        <v>0</v>
      </c>
      <c r="AH136" s="706">
        <f t="shared" si="85"/>
        <v>0</v>
      </c>
      <c r="AI136" s="648"/>
      <c r="AJ136" s="705">
        <f t="shared" si="86"/>
        <v>0</v>
      </c>
      <c r="AK136" s="705">
        <f t="shared" si="87"/>
        <v>0</v>
      </c>
      <c r="AL136" s="722">
        <f t="shared" si="88"/>
        <v>0</v>
      </c>
      <c r="AM136" s="720">
        <v>12</v>
      </c>
      <c r="AN136" s="650">
        <v>21</v>
      </c>
      <c r="AO136" s="650">
        <v>12</v>
      </c>
      <c r="AQ136" s="754" t="s">
        <v>107</v>
      </c>
      <c r="AR136" s="743"/>
      <c r="AS136" s="744"/>
      <c r="AT136" s="744"/>
      <c r="AU136" s="744"/>
    </row>
    <row r="137" spans="1:47" ht="13.5">
      <c r="A137" s="651"/>
      <c r="B137" s="1952">
        <v>0</v>
      </c>
      <c r="C137" s="1983" t="s">
        <v>828</v>
      </c>
      <c r="D137" s="1953" t="s">
        <v>829</v>
      </c>
      <c r="E137" s="1275"/>
      <c r="F137" s="1984"/>
      <c r="G137" s="1944">
        <f t="shared" si="73"/>
        <v>0</v>
      </c>
      <c r="H137" s="758">
        <f t="shared" si="74"/>
        <v>0</v>
      </c>
      <c r="I137" s="1947">
        <v>58</v>
      </c>
      <c r="J137" s="1946">
        <v>1.9</v>
      </c>
      <c r="K137" s="1946">
        <v>0.5</v>
      </c>
      <c r="L137" s="755">
        <f t="shared" si="71"/>
        <v>58.58</v>
      </c>
      <c r="M137" s="1954">
        <v>1</v>
      </c>
      <c r="N137" s="1949">
        <v>200</v>
      </c>
      <c r="O137" s="1949">
        <v>520</v>
      </c>
      <c r="P137" s="1949">
        <f>5*P136</f>
        <v>0.2</v>
      </c>
      <c r="Q137" s="1949">
        <f>5*Q136</f>
        <v>1</v>
      </c>
      <c r="R137" s="1949">
        <f>5*R136</f>
        <v>0.65</v>
      </c>
      <c r="S137" s="1966">
        <f>5*S136</f>
        <v>0.1</v>
      </c>
      <c r="T137" s="1931"/>
      <c r="U137" s="1967">
        <f t="shared" si="53"/>
        <v>12.99999999999997</v>
      </c>
      <c r="V137" s="970">
        <f t="shared" si="52"/>
        <v>368.54349999999914</v>
      </c>
      <c r="W137" s="651"/>
      <c r="X137" s="759">
        <f t="shared" si="75"/>
        <v>0</v>
      </c>
      <c r="Y137" s="704">
        <f t="shared" si="76"/>
        <v>0</v>
      </c>
      <c r="Z137" s="704">
        <f t="shared" si="77"/>
        <v>0</v>
      </c>
      <c r="AA137" s="704">
        <f t="shared" si="78"/>
        <v>0</v>
      </c>
      <c r="AB137" s="704">
        <f t="shared" si="79"/>
        <v>0</v>
      </c>
      <c r="AC137" s="705">
        <f t="shared" si="80"/>
        <v>0</v>
      </c>
      <c r="AD137" s="705">
        <f t="shared" si="81"/>
        <v>0</v>
      </c>
      <c r="AE137" s="705">
        <f t="shared" si="82"/>
        <v>0</v>
      </c>
      <c r="AF137" s="705">
        <f t="shared" si="83"/>
        <v>0</v>
      </c>
      <c r="AG137" s="705">
        <f t="shared" si="84"/>
        <v>0</v>
      </c>
      <c r="AH137" s="706">
        <f t="shared" si="85"/>
        <v>0</v>
      </c>
      <c r="AI137" s="648"/>
      <c r="AJ137" s="705">
        <f t="shared" si="86"/>
        <v>0</v>
      </c>
      <c r="AK137" s="705">
        <f t="shared" si="87"/>
        <v>0</v>
      </c>
      <c r="AL137" s="722">
        <f t="shared" si="88"/>
        <v>0</v>
      </c>
      <c r="AM137" s="733">
        <v>48</v>
      </c>
      <c r="AN137" s="733">
        <v>80</v>
      </c>
      <c r="AO137" s="733">
        <v>48</v>
      </c>
      <c r="AQ137" s="754" t="s">
        <v>107</v>
      </c>
      <c r="AR137" s="743"/>
      <c r="AS137" s="744"/>
      <c r="AT137" s="744"/>
      <c r="AU137" s="744"/>
    </row>
    <row r="138" spans="1:47" ht="13.5">
      <c r="A138" s="651"/>
      <c r="B138" s="1952">
        <v>0</v>
      </c>
      <c r="C138" s="1983" t="s">
        <v>830</v>
      </c>
      <c r="D138" s="1953" t="s">
        <v>829</v>
      </c>
      <c r="E138" s="1275"/>
      <c r="F138" s="1984"/>
      <c r="G138" s="1944">
        <f t="shared" si="73"/>
        <v>0</v>
      </c>
      <c r="H138" s="758">
        <f t="shared" si="74"/>
        <v>0</v>
      </c>
      <c r="I138" s="1947">
        <v>50</v>
      </c>
      <c r="J138" s="1946">
        <v>1.5</v>
      </c>
      <c r="K138" s="1946">
        <v>0.2</v>
      </c>
      <c r="L138" s="755">
        <f t="shared" si="71"/>
        <v>50.5</v>
      </c>
      <c r="M138" s="1954">
        <v>1</v>
      </c>
      <c r="N138" s="1949">
        <v>200</v>
      </c>
      <c r="O138" s="1949">
        <v>520</v>
      </c>
      <c r="P138" s="1949">
        <v>0.2</v>
      </c>
      <c r="Q138" s="1949">
        <v>1</v>
      </c>
      <c r="R138" s="1949">
        <v>0.65</v>
      </c>
      <c r="S138" s="1966">
        <v>0.1</v>
      </c>
      <c r="T138" s="1931"/>
      <c r="U138" s="1967">
        <f t="shared" si="53"/>
        <v>13.09999999999997</v>
      </c>
      <c r="V138" s="970">
        <f t="shared" si="52"/>
        <v>371.37844999999913</v>
      </c>
      <c r="W138" s="651"/>
      <c r="X138" s="759">
        <f t="shared" si="75"/>
        <v>0</v>
      </c>
      <c r="Y138" s="704">
        <f t="shared" si="76"/>
        <v>0</v>
      </c>
      <c r="Z138" s="704">
        <f t="shared" si="77"/>
        <v>0</v>
      </c>
      <c r="AA138" s="704">
        <f t="shared" si="78"/>
        <v>0</v>
      </c>
      <c r="AB138" s="704">
        <f t="shared" si="79"/>
        <v>0</v>
      </c>
      <c r="AC138" s="705">
        <f t="shared" si="80"/>
        <v>0</v>
      </c>
      <c r="AD138" s="705">
        <f t="shared" si="81"/>
        <v>0</v>
      </c>
      <c r="AE138" s="705">
        <f t="shared" si="82"/>
        <v>0</v>
      </c>
      <c r="AF138" s="705">
        <f t="shared" si="83"/>
        <v>0</v>
      </c>
      <c r="AG138" s="705">
        <f t="shared" si="84"/>
        <v>0</v>
      </c>
      <c r="AH138" s="706">
        <f t="shared" si="85"/>
        <v>0</v>
      </c>
      <c r="AI138" s="648"/>
      <c r="AJ138" s="705">
        <f t="shared" si="86"/>
        <v>0</v>
      </c>
      <c r="AK138" s="705">
        <f t="shared" si="87"/>
        <v>0</v>
      </c>
      <c r="AL138" s="722">
        <f t="shared" si="88"/>
        <v>0</v>
      </c>
      <c r="AM138" s="733">
        <v>48</v>
      </c>
      <c r="AN138" s="733">
        <v>80</v>
      </c>
      <c r="AO138" s="733">
        <v>48</v>
      </c>
      <c r="AQ138" s="736"/>
      <c r="AR138" s="743"/>
      <c r="AS138" s="744"/>
      <c r="AT138" s="744"/>
      <c r="AU138" s="744"/>
    </row>
    <row r="139" spans="1:47" ht="13.5">
      <c r="A139" s="651"/>
      <c r="B139" s="1952">
        <v>0</v>
      </c>
      <c r="C139" s="1983" t="s">
        <v>801</v>
      </c>
      <c r="D139" s="1953"/>
      <c r="E139" s="1275"/>
      <c r="F139" s="1984"/>
      <c r="G139" s="1944">
        <f t="shared" si="73"/>
        <v>0</v>
      </c>
      <c r="H139" s="758">
        <f t="shared" si="74"/>
        <v>0</v>
      </c>
      <c r="I139" s="1947">
        <v>13</v>
      </c>
      <c r="J139" s="1947">
        <v>0.8</v>
      </c>
      <c r="K139" s="1946">
        <v>0.01</v>
      </c>
      <c r="L139" s="755">
        <f t="shared" si="71"/>
        <v>13.13</v>
      </c>
      <c r="M139" s="1954">
        <v>0.2</v>
      </c>
      <c r="N139" s="1949">
        <v>50</v>
      </c>
      <c r="O139" s="1950">
        <v>130</v>
      </c>
      <c r="P139" s="1950">
        <v>0.06</v>
      </c>
      <c r="Q139" s="1950">
        <v>0.2</v>
      </c>
      <c r="R139" s="1950">
        <v>0.056</v>
      </c>
      <c r="S139" s="1951">
        <v>0.1</v>
      </c>
      <c r="T139" s="1931"/>
      <c r="U139" s="1967">
        <f t="shared" si="53"/>
        <v>13.199999999999969</v>
      </c>
      <c r="V139" s="970">
        <f t="shared" si="52"/>
        <v>374.2133999999991</v>
      </c>
      <c r="W139" s="651"/>
      <c r="X139" s="759">
        <f t="shared" si="75"/>
        <v>0</v>
      </c>
      <c r="Y139" s="704">
        <f t="shared" si="76"/>
        <v>0</v>
      </c>
      <c r="Z139" s="704">
        <f t="shared" si="77"/>
        <v>0</v>
      </c>
      <c r="AA139" s="704">
        <f t="shared" si="78"/>
        <v>0</v>
      </c>
      <c r="AB139" s="704">
        <f t="shared" si="79"/>
        <v>0</v>
      </c>
      <c r="AC139" s="705">
        <f t="shared" si="80"/>
        <v>0</v>
      </c>
      <c r="AD139" s="705">
        <f t="shared" si="81"/>
        <v>0</v>
      </c>
      <c r="AE139" s="705">
        <f t="shared" si="82"/>
        <v>0</v>
      </c>
      <c r="AF139" s="705">
        <f t="shared" si="83"/>
        <v>0</v>
      </c>
      <c r="AG139" s="705">
        <f t="shared" si="84"/>
        <v>0</v>
      </c>
      <c r="AH139" s="706">
        <f t="shared" si="85"/>
        <v>0</v>
      </c>
      <c r="AI139" s="648"/>
      <c r="AJ139" s="705">
        <f t="shared" si="86"/>
        <v>0</v>
      </c>
      <c r="AK139" s="705">
        <f t="shared" si="87"/>
        <v>0</v>
      </c>
      <c r="AL139" s="722">
        <f t="shared" si="88"/>
        <v>0</v>
      </c>
      <c r="AM139" s="720">
        <v>13</v>
      </c>
      <c r="AN139" s="650">
        <v>12</v>
      </c>
      <c r="AO139" s="650">
        <v>8</v>
      </c>
      <c r="AQ139" s="736" t="s">
        <v>107</v>
      </c>
      <c r="AR139" s="743"/>
      <c r="AS139" s="744"/>
      <c r="AT139" s="744"/>
      <c r="AU139" s="744"/>
    </row>
    <row r="140" spans="1:47" ht="13.5">
      <c r="A140" s="651"/>
      <c r="B140" s="1952">
        <v>0</v>
      </c>
      <c r="C140" s="1983" t="s">
        <v>831</v>
      </c>
      <c r="D140" s="1275"/>
      <c r="E140" s="1275"/>
      <c r="F140" s="1984"/>
      <c r="G140" s="1944">
        <f t="shared" si="73"/>
        <v>0</v>
      </c>
      <c r="H140" s="758">
        <f t="shared" si="74"/>
        <v>0</v>
      </c>
      <c r="I140" s="1947">
        <v>13</v>
      </c>
      <c r="J140" s="1946">
        <v>0.5</v>
      </c>
      <c r="K140" s="1946">
        <v>0.01</v>
      </c>
      <c r="L140" s="755">
        <f>I140*1.3</f>
        <v>16.900000000000002</v>
      </c>
      <c r="M140" s="1954">
        <v>1.2</v>
      </c>
      <c r="N140" s="1949">
        <v>50</v>
      </c>
      <c r="O140" s="1950">
        <v>276</v>
      </c>
      <c r="P140" s="1950">
        <v>0.016</v>
      </c>
      <c r="Q140" s="1950">
        <v>0.785</v>
      </c>
      <c r="R140" s="1950">
        <v>0.107</v>
      </c>
      <c r="S140" s="1951">
        <v>0.218</v>
      </c>
      <c r="T140" s="1931"/>
      <c r="U140" s="1967">
        <f t="shared" si="53"/>
        <v>13.299999999999969</v>
      </c>
      <c r="V140" s="970">
        <f t="shared" si="52"/>
        <v>377.0483499999991</v>
      </c>
      <c r="W140" s="651"/>
      <c r="X140" s="759">
        <f t="shared" si="75"/>
        <v>0</v>
      </c>
      <c r="Y140" s="704">
        <f t="shared" si="76"/>
        <v>0</v>
      </c>
      <c r="Z140" s="704">
        <f t="shared" si="77"/>
        <v>0</v>
      </c>
      <c r="AA140" s="704">
        <f t="shared" si="78"/>
        <v>0</v>
      </c>
      <c r="AB140" s="704">
        <f t="shared" si="79"/>
        <v>0</v>
      </c>
      <c r="AC140" s="705">
        <f t="shared" si="80"/>
        <v>0</v>
      </c>
      <c r="AD140" s="705">
        <f t="shared" si="81"/>
        <v>0</v>
      </c>
      <c r="AE140" s="705">
        <f t="shared" si="82"/>
        <v>0</v>
      </c>
      <c r="AF140" s="705">
        <f t="shared" si="83"/>
        <v>0</v>
      </c>
      <c r="AG140" s="705">
        <f t="shared" si="84"/>
        <v>0</v>
      </c>
      <c r="AH140" s="706">
        <f t="shared" si="85"/>
        <v>0</v>
      </c>
      <c r="AI140" s="648"/>
      <c r="AJ140" s="705">
        <f t="shared" si="86"/>
        <v>0</v>
      </c>
      <c r="AK140" s="705">
        <f t="shared" si="87"/>
        <v>0</v>
      </c>
      <c r="AL140" s="722">
        <f t="shared" si="88"/>
        <v>0</v>
      </c>
      <c r="AM140" s="720">
        <v>12</v>
      </c>
      <c r="AN140" s="650">
        <v>14</v>
      </c>
      <c r="AO140" s="650">
        <v>25</v>
      </c>
      <c r="AQ140" s="736" t="s">
        <v>748</v>
      </c>
      <c r="AR140" s="743"/>
      <c r="AS140" s="744"/>
      <c r="AT140" s="744"/>
      <c r="AU140" s="744"/>
    </row>
    <row r="141" spans="1:47" ht="15">
      <c r="A141" s="651"/>
      <c r="B141" s="1986">
        <v>0</v>
      </c>
      <c r="C141" s="1987" t="s">
        <v>199</v>
      </c>
      <c r="D141" s="1988"/>
      <c r="E141" s="1988"/>
      <c r="F141" s="1989"/>
      <c r="G141" s="1990">
        <f t="shared" si="73"/>
        <v>0</v>
      </c>
      <c r="H141" s="758">
        <f>B141*G141</f>
        <v>0</v>
      </c>
      <c r="I141" s="1991"/>
      <c r="J141" s="1991"/>
      <c r="K141" s="1991"/>
      <c r="L141" s="1991"/>
      <c r="M141" s="1991"/>
      <c r="N141" s="1992"/>
      <c r="O141" s="1991"/>
      <c r="P141" s="1991"/>
      <c r="Q141" s="1991"/>
      <c r="R141" s="1991"/>
      <c r="S141" s="1993"/>
      <c r="T141" s="1931"/>
      <c r="U141" s="1967">
        <f t="shared" si="53"/>
        <v>13.399999999999968</v>
      </c>
      <c r="V141" s="970">
        <f t="shared" si="52"/>
        <v>379.8832999999991</v>
      </c>
      <c r="W141" s="651"/>
      <c r="X141" s="761">
        <f>($G141*I141/100)</f>
        <v>0</v>
      </c>
      <c r="Y141" s="762">
        <f>($G141*(1+J141*0.00375)*J141/100)</f>
        <v>0</v>
      </c>
      <c r="Z141" s="762">
        <f>($G141*(1+K141*0.00375)*K141/100)</f>
        <v>0</v>
      </c>
      <c r="AA141" s="762">
        <f>G141*(L141-I141)/100</f>
        <v>0</v>
      </c>
      <c r="AB141" s="762">
        <f>G141*M141/1200</f>
        <v>0</v>
      </c>
      <c r="AC141" s="763">
        <f aca="true" t="shared" si="89" ref="AC141:AH141">$G141*N141/100</f>
        <v>0</v>
      </c>
      <c r="AD141" s="763">
        <f t="shared" si="89"/>
        <v>0</v>
      </c>
      <c r="AE141" s="763">
        <f t="shared" si="89"/>
        <v>0</v>
      </c>
      <c r="AF141" s="763">
        <f t="shared" si="89"/>
        <v>0</v>
      </c>
      <c r="AG141" s="763">
        <f t="shared" si="89"/>
        <v>0</v>
      </c>
      <c r="AH141" s="764">
        <f t="shared" si="89"/>
        <v>0</v>
      </c>
      <c r="AI141" s="648"/>
      <c r="AJ141" s="765">
        <f>$G141*AM141/100</f>
        <v>0</v>
      </c>
      <c r="AK141" s="765">
        <f>$G141*AN141/100</f>
        <v>0</v>
      </c>
      <c r="AL141" s="766">
        <f>$G141*AO141/100</f>
        <v>0</v>
      </c>
      <c r="AM141" s="767"/>
      <c r="AN141" s="767"/>
      <c r="AO141" s="767"/>
      <c r="AQ141" s="736"/>
      <c r="AR141" s="743"/>
      <c r="AS141" s="653"/>
      <c r="AT141" s="653"/>
      <c r="AU141" s="653"/>
    </row>
    <row r="142" spans="1:47" ht="13.5">
      <c r="A142" s="641"/>
      <c r="B142" s="3072" t="s">
        <v>544</v>
      </c>
      <c r="C142" s="3072"/>
      <c r="D142" s="3072"/>
      <c r="E142" s="1434">
        <f>SUM(E26:E141)</f>
        <v>2</v>
      </c>
      <c r="F142" s="1434">
        <f>SUM(F26:F141)</f>
        <v>0</v>
      </c>
      <c r="G142" s="1994">
        <f>375*(G148)/(R148-1000)</f>
        <v>1134</v>
      </c>
      <c r="H142" s="1995">
        <f>SUM(H26:H141)</f>
        <v>154.22400000000002</v>
      </c>
      <c r="I142" s="1996"/>
      <c r="J142" s="1996"/>
      <c r="K142" s="770"/>
      <c r="L142" s="770"/>
      <c r="M142" s="771"/>
      <c r="N142" s="771"/>
      <c r="O142" s="772"/>
      <c r="P142" s="772"/>
      <c r="Q142" s="772"/>
      <c r="R142" s="772"/>
      <c r="S142" s="772"/>
      <c r="T142" s="773"/>
      <c r="U142" s="1967">
        <f t="shared" si="53"/>
        <v>13.499999999999968</v>
      </c>
      <c r="V142" s="970">
        <f t="shared" si="52"/>
        <v>382.7182499999991</v>
      </c>
      <c r="W142" s="774"/>
      <c r="X142" s="647"/>
      <c r="Y142" s="647"/>
      <c r="Z142" s="647"/>
      <c r="AA142" s="647"/>
      <c r="AB142" s="647"/>
      <c r="AC142" s="646"/>
      <c r="AD142" s="646"/>
      <c r="AE142" s="646"/>
      <c r="AF142" s="646"/>
      <c r="AG142" s="646"/>
      <c r="AH142" s="646"/>
      <c r="AI142" s="648"/>
      <c r="AJ142" s="775"/>
      <c r="AK142" s="720"/>
      <c r="AL142" s="776"/>
      <c r="AM142" s="653"/>
      <c r="AR142" s="653"/>
      <c r="AS142" s="653"/>
      <c r="AT142" s="653"/>
      <c r="AU142" s="653"/>
    </row>
    <row r="143" spans="1:47" ht="15" customHeight="1">
      <c r="A143" s="641"/>
      <c r="B143" s="3073"/>
      <c r="C143" s="3073"/>
      <c r="D143" s="3073"/>
      <c r="E143" s="3078" t="s">
        <v>1000</v>
      </c>
      <c r="F143" s="3079"/>
      <c r="G143" s="3075" t="s">
        <v>264</v>
      </c>
      <c r="H143" s="3075"/>
      <c r="I143" s="3075"/>
      <c r="J143" s="3075"/>
      <c r="K143" s="3075"/>
      <c r="L143" s="3075"/>
      <c r="M143" s="3076"/>
      <c r="N143" s="771"/>
      <c r="O143" s="3069" t="s">
        <v>268</v>
      </c>
      <c r="P143" s="3069"/>
      <c r="Q143" s="3069"/>
      <c r="R143" s="3069"/>
      <c r="S143" s="3069"/>
      <c r="T143" s="773"/>
      <c r="U143" s="1967">
        <f t="shared" si="53"/>
        <v>13.599999999999968</v>
      </c>
      <c r="V143" s="970">
        <f t="shared" si="52"/>
        <v>385.5531999999991</v>
      </c>
      <c r="W143" s="774"/>
      <c r="X143" s="647"/>
      <c r="Y143" s="647"/>
      <c r="Z143" s="647"/>
      <c r="AA143" s="647"/>
      <c r="AB143" s="647"/>
      <c r="AC143" s="646"/>
      <c r="AD143" s="646"/>
      <c r="AE143" s="646"/>
      <c r="AF143" s="646"/>
      <c r="AG143" s="646"/>
      <c r="AH143" s="646"/>
      <c r="AI143" s="648"/>
      <c r="AJ143" s="649" t="s">
        <v>429</v>
      </c>
      <c r="AK143" s="649" t="s">
        <v>429</v>
      </c>
      <c r="AL143" s="649" t="s">
        <v>429</v>
      </c>
      <c r="AM143" s="649" t="s">
        <v>429</v>
      </c>
      <c r="AN143" s="649" t="s">
        <v>429</v>
      </c>
      <c r="AO143" s="649" t="s">
        <v>429</v>
      </c>
      <c r="AP143" s="649" t="s">
        <v>429</v>
      </c>
      <c r="AR143" s="653"/>
      <c r="AS143" s="653"/>
      <c r="AT143" s="653"/>
      <c r="AU143" s="653"/>
    </row>
    <row r="144" spans="1:47" ht="13.5">
      <c r="A144" s="641"/>
      <c r="B144" s="3073"/>
      <c r="C144" s="3073"/>
      <c r="D144" s="3073"/>
      <c r="E144" s="3078"/>
      <c r="F144" s="3079"/>
      <c r="G144" s="953" t="s">
        <v>499</v>
      </c>
      <c r="H144" s="1997"/>
      <c r="I144" s="777" t="s">
        <v>702</v>
      </c>
      <c r="J144" s="778" t="s">
        <v>286</v>
      </c>
      <c r="K144" s="778" t="s">
        <v>703</v>
      </c>
      <c r="L144" s="778" t="s">
        <v>704</v>
      </c>
      <c r="M144" s="778" t="s">
        <v>705</v>
      </c>
      <c r="N144" s="771"/>
      <c r="O144" s="3069"/>
      <c r="P144" s="3069"/>
      <c r="Q144" s="3069"/>
      <c r="R144" s="3069"/>
      <c r="S144" s="3069"/>
      <c r="T144" s="773"/>
      <c r="U144" s="1967">
        <f t="shared" si="53"/>
        <v>13.699999999999967</v>
      </c>
      <c r="V144" s="970">
        <f>U144*28.3495</f>
        <v>388.3881499999991</v>
      </c>
      <c r="W144" s="774"/>
      <c r="X144" s="647"/>
      <c r="Y144" s="647"/>
      <c r="Z144" s="647"/>
      <c r="AA144" s="647"/>
      <c r="AB144" s="647"/>
      <c r="AC144" s="646"/>
      <c r="AD144" s="646"/>
      <c r="AE144" s="646"/>
      <c r="AF144" s="646"/>
      <c r="AG144" s="646"/>
      <c r="AH144" s="646"/>
      <c r="AI144" s="648"/>
      <c r="AJ144" s="775"/>
      <c r="AK144" s="720"/>
      <c r="AL144" s="776"/>
      <c r="AM144" s="653"/>
      <c r="AR144" s="653"/>
      <c r="AS144" s="653"/>
      <c r="AT144" s="653"/>
      <c r="AU144" s="653"/>
    </row>
    <row r="145" spans="1:47" ht="13.5">
      <c r="A145" s="641"/>
      <c r="B145" s="3073"/>
      <c r="C145" s="3073"/>
      <c r="D145" s="3073"/>
      <c r="E145" s="983" t="str">
        <f>(E142+INT(F142/16))&amp;" lb"</f>
        <v>2 lb</v>
      </c>
      <c r="F145" s="982" t="str">
        <f>FIXED(MOD(F142,16),0)&amp;" oz"</f>
        <v>0 oz</v>
      </c>
      <c r="G145" s="779">
        <f>SUM(G16:G141)</f>
        <v>907.2</v>
      </c>
      <c r="H145" s="779" t="str">
        <f>Y146&amp;"g"</f>
        <v>g</v>
      </c>
      <c r="I145" s="779">
        <f>G148+SUM(X16:X141)</f>
        <v>970.7040000000001</v>
      </c>
      <c r="J145" s="781">
        <f>G150-(G149*5/3)+SUM(Y16:Y141)</f>
        <v>31.752000000000002</v>
      </c>
      <c r="K145" s="782">
        <f>SUM(Z16:Z141)+453.6*(F154/16)</f>
        <v>3.1752</v>
      </c>
      <c r="L145" s="781">
        <f>SUM(AA16:AA141)</f>
        <v>72.57600000000001</v>
      </c>
      <c r="M145" s="783">
        <f>SUM(AB16:AB141)</f>
        <v>0.8316000000000001</v>
      </c>
      <c r="N145" s="780"/>
      <c r="O145" s="3069"/>
      <c r="P145" s="3069"/>
      <c r="Q145" s="3069"/>
      <c r="R145" s="3069"/>
      <c r="S145" s="3069"/>
      <c r="T145" s="902"/>
      <c r="U145" s="1967">
        <f>U144+0.1</f>
        <v>13.799999999999967</v>
      </c>
      <c r="V145" s="970">
        <f aca="true" t="shared" si="90" ref="V145:V186">U145*28.3495</f>
        <v>391.223099999999</v>
      </c>
      <c r="W145" s="651"/>
      <c r="X145" s="647"/>
      <c r="Y145" s="647"/>
      <c r="Z145" s="647"/>
      <c r="AA145" s="647"/>
      <c r="AB145" s="647"/>
      <c r="AC145" s="646"/>
      <c r="AD145" s="646"/>
      <c r="AE145" s="646"/>
      <c r="AF145" s="784"/>
      <c r="AG145" s="646"/>
      <c r="AH145" s="646"/>
      <c r="AI145" s="648"/>
      <c r="AJ145" s="694"/>
      <c r="AK145" s="785"/>
      <c r="AL145" s="760"/>
      <c r="AM145" s="786"/>
      <c r="AN145" s="787"/>
      <c r="AQ145" s="788"/>
      <c r="AR145" s="653"/>
      <c r="AS145" s="653"/>
      <c r="AT145" s="653"/>
      <c r="AU145" s="653"/>
    </row>
    <row r="146" spans="1:47" ht="17.25" customHeight="1">
      <c r="A146" s="641"/>
      <c r="B146" s="902"/>
      <c r="C146" s="840"/>
      <c r="D146" s="840"/>
      <c r="E146" s="3071" t="s">
        <v>285</v>
      </c>
      <c r="F146" s="3071"/>
      <c r="G146" s="955"/>
      <c r="H146" s="840"/>
      <c r="I146" s="840"/>
      <c r="J146" s="840"/>
      <c r="K146" s="840"/>
      <c r="L146" s="840"/>
      <c r="M146" s="840"/>
      <c r="N146" s="840"/>
      <c r="O146" s="3069"/>
      <c r="P146" s="3069"/>
      <c r="Q146" s="3069"/>
      <c r="R146" s="3069"/>
      <c r="S146" s="3069"/>
      <c r="T146" s="1998"/>
      <c r="U146" s="1967">
        <f>U145+0.1</f>
        <v>13.899999999999967</v>
      </c>
      <c r="V146" s="970">
        <f t="shared" si="90"/>
        <v>394.058049999999</v>
      </c>
      <c r="W146" s="790"/>
      <c r="Y146" s="791"/>
      <c r="Z146" s="647"/>
      <c r="AA146" s="647"/>
      <c r="AB146" s="647"/>
      <c r="AC146" s="646"/>
      <c r="AD146" s="646"/>
      <c r="AE146" s="646"/>
      <c r="AF146" s="646"/>
      <c r="AG146" s="646"/>
      <c r="AH146" s="646"/>
      <c r="AI146" s="648"/>
      <c r="AJ146" s="694"/>
      <c r="AK146" s="785"/>
      <c r="AL146" s="760"/>
      <c r="AM146" s="786"/>
      <c r="AN146" s="787"/>
      <c r="AQ146" s="788"/>
      <c r="AR146" s="653"/>
      <c r="AS146" s="653"/>
      <c r="AT146" s="653"/>
      <c r="AU146" s="653"/>
    </row>
    <row r="147" spans="1:47" ht="13.5" customHeight="1">
      <c r="A147" s="641"/>
      <c r="B147" s="902"/>
      <c r="C147" s="840"/>
      <c r="D147" s="840"/>
      <c r="E147" s="792" t="s">
        <v>531</v>
      </c>
      <c r="F147" s="792" t="s">
        <v>105</v>
      </c>
      <c r="G147" s="1561"/>
      <c r="H147" s="840"/>
      <c r="I147" s="840"/>
      <c r="J147" s="840"/>
      <c r="K147" s="840"/>
      <c r="L147" s="840"/>
      <c r="M147" s="840"/>
      <c r="N147" s="840"/>
      <c r="O147" s="840"/>
      <c r="P147" s="840"/>
      <c r="Q147" s="840"/>
      <c r="R147" s="840"/>
      <c r="S147" s="840"/>
      <c r="T147" s="1998"/>
      <c r="U147" s="1967">
        <f>U146+0.1</f>
        <v>13.999999999999966</v>
      </c>
      <c r="V147" s="970">
        <f t="shared" si="90"/>
        <v>396.892999999999</v>
      </c>
      <c r="W147" s="734"/>
      <c r="AC147" s="648"/>
      <c r="AD147" s="646"/>
      <c r="AE147" s="646"/>
      <c r="AF147" s="646"/>
      <c r="AG147" s="648"/>
      <c r="AH147" s="648"/>
      <c r="AI147" s="648"/>
      <c r="AJ147" s="694"/>
      <c r="AK147" s="785"/>
      <c r="AL147" s="760"/>
      <c r="AM147" s="786"/>
      <c r="AN147" s="787"/>
      <c r="AQ147" s="788"/>
      <c r="AR147" s="653"/>
      <c r="AS147" s="653"/>
      <c r="AT147" s="653"/>
      <c r="AU147" s="653"/>
    </row>
    <row r="148" spans="1:47" ht="13.5">
      <c r="A148" s="651"/>
      <c r="B148" s="1931"/>
      <c r="C148" s="3077" t="s">
        <v>832</v>
      </c>
      <c r="D148" s="3077"/>
      <c r="E148" s="1999">
        <v>2</v>
      </c>
      <c r="F148" s="1999"/>
      <c r="G148" s="2000">
        <f>453.6*(E148+F148/16)</f>
        <v>907.2</v>
      </c>
      <c r="H148" s="2001"/>
      <c r="I148" s="3082" t="str">
        <f>"g, add to "&amp;ROUND((375*G148)/(R148-1000)-0.58*G148,-1)&amp;"ml hot water to obtain "&amp;ROUND(G142,-1)&amp;"ml of sugar syrup with an S.G. of approx."</f>
        <v>g, add to 610ml hot water to obtain 1130ml of sugar syrup with an S.G. of approx.</v>
      </c>
      <c r="J148" s="3082"/>
      <c r="K148" s="3082"/>
      <c r="L148" s="3082"/>
      <c r="M148" s="3082"/>
      <c r="N148" s="3082"/>
      <c r="O148" s="3082"/>
      <c r="P148" s="3082"/>
      <c r="Q148" s="3082"/>
      <c r="R148" s="1469">
        <v>1300</v>
      </c>
      <c r="S148" s="3070" t="s">
        <v>833</v>
      </c>
      <c r="T148" s="3070"/>
      <c r="U148" s="1967">
        <f>U147+0.1</f>
        <v>14.099999999999966</v>
      </c>
      <c r="V148" s="970">
        <f t="shared" si="90"/>
        <v>399.727949999999</v>
      </c>
      <c r="W148" s="790"/>
      <c r="AC148" s="648"/>
      <c r="AD148" s="646"/>
      <c r="AE148" s="646"/>
      <c r="AF148" s="646"/>
      <c r="AG148" s="648"/>
      <c r="AH148" s="648"/>
      <c r="AI148" s="648"/>
      <c r="AJ148" s="694"/>
      <c r="AK148" s="785"/>
      <c r="AL148" s="760"/>
      <c r="AM148" s="786"/>
      <c r="AN148" s="787"/>
      <c r="AQ148" s="788"/>
      <c r="AR148" s="653"/>
      <c r="AS148" s="653"/>
      <c r="AT148" s="653"/>
      <c r="AU148" s="653"/>
    </row>
    <row r="149" spans="1:47" ht="13.5">
      <c r="A149" s="651"/>
      <c r="B149" s="1931"/>
      <c r="C149" s="3028" t="s">
        <v>834</v>
      </c>
      <c r="D149" s="3028"/>
      <c r="E149" s="1410"/>
      <c r="F149" s="1558"/>
      <c r="G149" s="2002">
        <f>453.6*(F149/16)</f>
        <v>0</v>
      </c>
      <c r="H149" s="840"/>
      <c r="I149" s="3074" t="str">
        <f>"g = "&amp;FIXED(G149/4.5)&amp;" tsp OR calcium carbonate (precipitated chalk) for acid reduction"</f>
        <v>g = 0.00 tsp OR calcium carbonate (precipitated chalk) for acid reduction</v>
      </c>
      <c r="J149" s="2823"/>
      <c r="K149" s="2823"/>
      <c r="L149" s="2823"/>
      <c r="M149" s="2823"/>
      <c r="N149" s="2823"/>
      <c r="O149" s="2823"/>
      <c r="P149" s="2823"/>
      <c r="Q149" s="2823"/>
      <c r="R149" s="2823"/>
      <c r="S149" s="2003"/>
      <c r="T149" s="2003"/>
      <c r="U149" s="1967">
        <f aca="true" t="shared" si="91" ref="U149:U155">U148+0.1</f>
        <v>14.199999999999966</v>
      </c>
      <c r="V149" s="970">
        <f t="shared" si="90"/>
        <v>402.562899999999</v>
      </c>
      <c r="W149" s="790"/>
      <c r="AC149" s="648"/>
      <c r="AD149" s="646"/>
      <c r="AE149" s="646"/>
      <c r="AF149" s="646"/>
      <c r="AG149" s="1270"/>
      <c r="AH149" s="1270"/>
      <c r="AI149" s="1270"/>
      <c r="AJ149" s="1270"/>
      <c r="AK149" s="1270"/>
      <c r="AL149" s="1270"/>
      <c r="AM149" s="1270"/>
      <c r="AN149" s="1270"/>
      <c r="AO149" s="1270"/>
      <c r="AP149" s="1270"/>
      <c r="AQ149" s="1270"/>
      <c r="AR149" s="1271"/>
      <c r="AS149" s="1271"/>
      <c r="AT149" s="653"/>
      <c r="AU149" s="653"/>
    </row>
    <row r="150" spans="1:47" ht="13.5">
      <c r="A150" s="651"/>
      <c r="B150" s="1931"/>
      <c r="C150" s="3028" t="s">
        <v>835</v>
      </c>
      <c r="D150" s="3028"/>
      <c r="E150" s="1410"/>
      <c r="F150" s="1558"/>
      <c r="G150" s="2002">
        <f>453.6*(F150/16)</f>
        <v>0</v>
      </c>
      <c r="H150" s="840"/>
      <c r="I150" s="3074" t="str">
        <f>"g = "&amp;FIXED(G150/5)&amp;" tsp TARTARIC"</f>
        <v>g = 0.00 tsp TARTARIC</v>
      </c>
      <c r="J150" s="3061"/>
      <c r="K150" s="3061"/>
      <c r="L150" s="3060" t="str">
        <f>"OR = "&amp;FIXED(G150/0.853)&amp;"g = "&amp;FIXED(G150/(0.853*4.9),2)&amp;" tsp CITRIC"</f>
        <v>OR = 0.00g = 0.00 tsp CITRIC</v>
      </c>
      <c r="M150" s="3061"/>
      <c r="N150" s="3061"/>
      <c r="O150" s="3061"/>
      <c r="P150" s="3061"/>
      <c r="Q150" s="1976"/>
      <c r="R150" s="1976"/>
      <c r="S150" s="2003"/>
      <c r="T150" s="2003"/>
      <c r="U150" s="1967">
        <f t="shared" si="91"/>
        <v>14.299999999999965</v>
      </c>
      <c r="V150" s="970">
        <f t="shared" si="90"/>
        <v>405.397849999999</v>
      </c>
      <c r="W150" s="790"/>
      <c r="AC150" s="648"/>
      <c r="AD150" s="646"/>
      <c r="AE150" s="646"/>
      <c r="AF150" s="646"/>
      <c r="AG150" s="1270"/>
      <c r="AH150" s="1270"/>
      <c r="AI150" s="1270"/>
      <c r="AJ150" s="1270"/>
      <c r="AK150" s="1270"/>
      <c r="AL150" s="1270"/>
      <c r="AM150" s="1270"/>
      <c r="AN150" s="1270"/>
      <c r="AO150" s="1270"/>
      <c r="AP150" s="1270"/>
      <c r="AQ150" s="1270"/>
      <c r="AR150" s="1271"/>
      <c r="AS150" s="1271"/>
      <c r="AT150" s="653"/>
      <c r="AU150" s="653"/>
    </row>
    <row r="151" spans="1:47" ht="13.5">
      <c r="A151" s="651"/>
      <c r="B151" s="1931"/>
      <c r="C151" s="1931"/>
      <c r="D151" s="1931"/>
      <c r="E151" s="1931"/>
      <c r="F151" s="1931"/>
      <c r="G151" s="902"/>
      <c r="H151" s="902"/>
      <c r="I151" s="902"/>
      <c r="J151" s="902"/>
      <c r="K151" s="902"/>
      <c r="L151" s="3044" t="str">
        <f>"OR = "&amp;FIXED(G150/0.893)&amp;"g = "&amp;FIXED(G150/(0.893*4.5),2)&amp;" tsp MALIC"</f>
        <v>OR = 0.00g = 0.00 tsp MALIC</v>
      </c>
      <c r="M151" s="2387"/>
      <c r="N151" s="2387"/>
      <c r="O151" s="2387"/>
      <c r="P151" s="2387"/>
      <c r="Q151" s="902"/>
      <c r="R151" s="902"/>
      <c r="S151" s="2003"/>
      <c r="T151" s="2003"/>
      <c r="U151" s="1967">
        <f t="shared" si="91"/>
        <v>14.399999999999965</v>
      </c>
      <c r="V151" s="970">
        <f t="shared" si="90"/>
        <v>408.232799999999</v>
      </c>
      <c r="W151" s="790"/>
      <c r="AC151" s="648"/>
      <c r="AD151" s="646"/>
      <c r="AE151" s="646"/>
      <c r="AF151" s="646"/>
      <c r="AG151" s="1270"/>
      <c r="AH151" s="1270"/>
      <c r="AI151" s="1270"/>
      <c r="AJ151" s="1270"/>
      <c r="AK151" s="1270"/>
      <c r="AL151" s="1270"/>
      <c r="AM151" s="1270"/>
      <c r="AN151" s="1270"/>
      <c r="AO151" s="1270"/>
      <c r="AP151" s="1270"/>
      <c r="AQ151" s="1270"/>
      <c r="AR151" s="1271"/>
      <c r="AS151" s="1271"/>
      <c r="AT151" s="653"/>
      <c r="AU151" s="653"/>
    </row>
    <row r="152" spans="1:47" ht="13.5">
      <c r="A152" s="641"/>
      <c r="B152" s="902"/>
      <c r="C152" s="902"/>
      <c r="D152" s="902"/>
      <c r="E152" s="902"/>
      <c r="F152" s="792" t="s">
        <v>285</v>
      </c>
      <c r="G152" s="771"/>
      <c r="H152" s="902"/>
      <c r="I152" s="902"/>
      <c r="J152" s="902"/>
      <c r="K152" s="902"/>
      <c r="L152" s="3044" t="str">
        <f>"OR = "&amp;FIXED(G150/(0.92))&amp;"g = "&amp;FIXED(G150/(0.92*4.5),2)&amp;" tsp ACID BLEND"</f>
        <v>OR = 0.00g = 0.00 tsp ACID BLEND</v>
      </c>
      <c r="M152" s="2387"/>
      <c r="N152" s="2387"/>
      <c r="O152" s="2387"/>
      <c r="P152" s="2387"/>
      <c r="Q152" s="902"/>
      <c r="R152" s="902"/>
      <c r="S152" s="902"/>
      <c r="T152" s="797"/>
      <c r="U152" s="1967">
        <f t="shared" si="91"/>
        <v>14.499999999999964</v>
      </c>
      <c r="V152" s="970">
        <f t="shared" si="90"/>
        <v>411.06774999999897</v>
      </c>
      <c r="W152" s="641"/>
      <c r="AC152" s="648"/>
      <c r="AD152" s="646"/>
      <c r="AE152" s="646"/>
      <c r="AF152" s="646"/>
      <c r="AG152" s="1270"/>
      <c r="AH152" s="1270"/>
      <c r="AI152" s="1270"/>
      <c r="AJ152" s="1270"/>
      <c r="AK152" s="1270"/>
      <c r="AL152" s="1270"/>
      <c r="AM152" s="1270"/>
      <c r="AN152" s="1270"/>
      <c r="AO152" s="1270"/>
      <c r="AP152" s="1270"/>
      <c r="AQ152" s="1270"/>
      <c r="AR152" s="1271"/>
      <c r="AS152" s="1271"/>
      <c r="AT152" s="653"/>
      <c r="AU152" s="653"/>
    </row>
    <row r="153" spans="1:47" ht="13.5">
      <c r="A153" s="641"/>
      <c r="B153" s="902"/>
      <c r="C153" s="902"/>
      <c r="D153" s="902"/>
      <c r="E153" s="902"/>
      <c r="F153" s="950" t="s">
        <v>105</v>
      </c>
      <c r="G153" s="971"/>
      <c r="H153" s="902"/>
      <c r="I153" s="902"/>
      <c r="J153" s="902"/>
      <c r="K153" s="902"/>
      <c r="L153" s="902"/>
      <c r="M153" s="902"/>
      <c r="N153" s="902"/>
      <c r="O153" s="902"/>
      <c r="P153" s="902"/>
      <c r="Q153" s="902"/>
      <c r="R153" s="902"/>
      <c r="S153" s="902"/>
      <c r="T153" s="797"/>
      <c r="U153" s="1967">
        <f t="shared" si="91"/>
        <v>14.599999999999964</v>
      </c>
      <c r="V153" s="970">
        <f t="shared" si="90"/>
        <v>413.90269999999896</v>
      </c>
      <c r="W153" s="641"/>
      <c r="AC153" s="648"/>
      <c r="AD153" s="646"/>
      <c r="AE153" s="646"/>
      <c r="AF153" s="646"/>
      <c r="AG153" s="1269"/>
      <c r="AH153" s="1269"/>
      <c r="AI153" s="1269"/>
      <c r="AJ153" s="1273"/>
      <c r="AK153" s="1274"/>
      <c r="AL153" s="1275"/>
      <c r="AM153" s="1276"/>
      <c r="AN153" s="1277"/>
      <c r="AO153" s="1270"/>
      <c r="AP153" s="1270"/>
      <c r="AQ153" s="1278"/>
      <c r="AR153" s="1270"/>
      <c r="AS153" s="1279"/>
      <c r="AT153" s="796"/>
      <c r="AU153" s="796"/>
    </row>
    <row r="154" spans="1:45" ht="13.5">
      <c r="A154" s="641"/>
      <c r="B154" s="902"/>
      <c r="C154" s="3028" t="s">
        <v>836</v>
      </c>
      <c r="D154" s="3029"/>
      <c r="E154" s="902"/>
      <c r="F154" s="1559"/>
      <c r="G154" s="2902" t="str">
        <f>" = "&amp;FIXED(453.6*(F154/16))&amp;"g = "&amp;FIXED(453.6*(F154/16)/2.8)&amp;" tsp POWDER"</f>
        <v> = 0.00g = 0.00 tsp POWDER</v>
      </c>
      <c r="H154" s="2902"/>
      <c r="I154" s="2902"/>
      <c r="J154" s="2902"/>
      <c r="K154" s="2902"/>
      <c r="L154" s="3068" t="str">
        <f>"OR = "&amp;FIXED((453.6*(F154/16)/2.8)*4.5*5,1)&amp;"g = "&amp;FIXED((453.6*(F154/16)/2.8)*4.5,1)&amp;" tsp LIQUID TANNIN"</f>
        <v>OR = 0.0g = 0.0 tsp LIQUID TANNIN</v>
      </c>
      <c r="M154" s="2387"/>
      <c r="N154" s="2387"/>
      <c r="O154" s="2387"/>
      <c r="P154" s="2387"/>
      <c r="Q154" s="2387"/>
      <c r="R154" s="2387"/>
      <c r="S154" s="2387"/>
      <c r="T154" s="797"/>
      <c r="U154" s="1967">
        <f t="shared" si="91"/>
        <v>14.699999999999964</v>
      </c>
      <c r="V154" s="970">
        <f t="shared" si="90"/>
        <v>416.73764999999895</v>
      </c>
      <c r="W154" s="641"/>
      <c r="AC154" s="648"/>
      <c r="AD154" s="646"/>
      <c r="AE154" s="646"/>
      <c r="AF154" s="646"/>
      <c r="AG154" s="1277"/>
      <c r="AH154" s="1270"/>
      <c r="AI154" s="1270"/>
      <c r="AJ154" s="1278"/>
      <c r="AK154" s="1274"/>
      <c r="AL154" s="1275"/>
      <c r="AM154" s="1276"/>
      <c r="AN154" s="1277"/>
      <c r="AO154" s="1270"/>
      <c r="AP154" s="1270"/>
      <c r="AQ154" s="1278"/>
      <c r="AR154" s="1270"/>
      <c r="AS154" s="1270"/>
    </row>
    <row r="155" spans="1:45" ht="13.5">
      <c r="A155" s="641"/>
      <c r="B155" s="902"/>
      <c r="C155" s="3034" t="s">
        <v>837</v>
      </c>
      <c r="D155" s="2466"/>
      <c r="E155" s="2466"/>
      <c r="F155" s="2466"/>
      <c r="G155" s="2466"/>
      <c r="H155" s="2466"/>
      <c r="I155" s="2466"/>
      <c r="J155" s="2466"/>
      <c r="K155" s="2466"/>
      <c r="L155" s="3044" t="str">
        <f>"OR = "&amp;FIXED(453.6*(F154/16)/0.216,1)&amp;" tea bag(s) OR = "&amp;FIXED((453.6*(F154/16)/0.216)*3,1)&amp;"g loose tea, mashed in a teapot"</f>
        <v>OR = 0.0 tea bag(s) OR = 0.0g loose tea, mashed in a teapot</v>
      </c>
      <c r="M155" s="2466"/>
      <c r="N155" s="2466"/>
      <c r="O155" s="2466"/>
      <c r="P155" s="2466"/>
      <c r="Q155" s="2466"/>
      <c r="R155" s="2466"/>
      <c r="S155" s="2466"/>
      <c r="T155" s="797"/>
      <c r="U155" s="1967">
        <f t="shared" si="91"/>
        <v>14.799999999999963</v>
      </c>
      <c r="V155" s="970">
        <f t="shared" si="90"/>
        <v>419.57259999999894</v>
      </c>
      <c r="W155" s="641"/>
      <c r="AC155" s="648"/>
      <c r="AD155" s="646"/>
      <c r="AE155" s="646"/>
      <c r="AF155" s="646"/>
      <c r="AG155" s="1277"/>
      <c r="AH155" s="1270"/>
      <c r="AI155" s="1270"/>
      <c r="AJ155" s="1278"/>
      <c r="AK155" s="1274"/>
      <c r="AL155" s="1275"/>
      <c r="AM155" s="1276"/>
      <c r="AN155" s="1277"/>
      <c r="AO155" s="1270"/>
      <c r="AP155" s="1270"/>
      <c r="AQ155" s="1278"/>
      <c r="AR155" s="1270"/>
      <c r="AS155" s="1270"/>
    </row>
    <row r="156" spans="1:45" ht="13.5">
      <c r="A156" s="641"/>
      <c r="B156" s="902"/>
      <c r="C156" s="3043" t="s">
        <v>838</v>
      </c>
      <c r="D156" s="2387"/>
      <c r="E156" s="2387"/>
      <c r="F156" s="2387"/>
      <c r="G156" s="2387"/>
      <c r="H156" s="2387"/>
      <c r="I156" s="2387"/>
      <c r="J156" s="2387"/>
      <c r="K156" s="2387"/>
      <c r="L156" s="2387"/>
      <c r="M156" s="2387"/>
      <c r="N156" s="2387"/>
      <c r="O156" s="2387"/>
      <c r="P156" s="2387"/>
      <c r="Q156" s="2387"/>
      <c r="R156" s="2387"/>
      <c r="S156" s="2387"/>
      <c r="T156" s="797"/>
      <c r="U156" s="1967">
        <f aca="true" t="shared" si="92" ref="U156:U175">U155+0.1</f>
        <v>14.899999999999963</v>
      </c>
      <c r="V156" s="970">
        <f t="shared" si="90"/>
        <v>422.40754999999893</v>
      </c>
      <c r="W156" s="641"/>
      <c r="AC156" s="648"/>
      <c r="AD156" s="646"/>
      <c r="AE156" s="646"/>
      <c r="AF156" s="646"/>
      <c r="AG156" s="1277"/>
      <c r="AH156" s="1270"/>
      <c r="AI156" s="1270"/>
      <c r="AJ156" s="1272" t="e">
        <f>FIXED(100*AI156/AI155,0)&amp;"g/100ml"</f>
        <v>#DIV/0!</v>
      </c>
      <c r="AK156" s="1274"/>
      <c r="AL156" s="1275"/>
      <c r="AM156" s="1276"/>
      <c r="AN156" s="1277"/>
      <c r="AO156" s="1270"/>
      <c r="AP156" s="1270"/>
      <c r="AQ156" s="1278"/>
      <c r="AR156" s="1270"/>
      <c r="AS156" s="1270"/>
    </row>
    <row r="157" spans="1:45" ht="13.5">
      <c r="A157" s="641"/>
      <c r="B157" s="902"/>
      <c r="C157" s="3043" t="s">
        <v>23</v>
      </c>
      <c r="D157" s="2387"/>
      <c r="E157" s="2387"/>
      <c r="F157" s="2387"/>
      <c r="G157" s="2387"/>
      <c r="H157" s="2387"/>
      <c r="I157" s="2387"/>
      <c r="J157" s="2387"/>
      <c r="K157" s="2387"/>
      <c r="L157" s="2387"/>
      <c r="M157" s="2387"/>
      <c r="N157" s="2387"/>
      <c r="O157" s="2387"/>
      <c r="P157" s="2387"/>
      <c r="Q157" s="2387"/>
      <c r="R157" s="2387"/>
      <c r="S157" s="2387"/>
      <c r="T157" s="797"/>
      <c r="U157" s="1967">
        <f t="shared" si="92"/>
        <v>14.999999999999963</v>
      </c>
      <c r="V157" s="970">
        <f t="shared" si="90"/>
        <v>425.2424999999989</v>
      </c>
      <c r="W157" s="641"/>
      <c r="AC157" s="648"/>
      <c r="AD157" s="646"/>
      <c r="AE157" s="646"/>
      <c r="AF157" s="646"/>
      <c r="AG157" s="1277"/>
      <c r="AH157" s="1270"/>
      <c r="AI157" s="1270"/>
      <c r="AJ157" s="1272" t="e">
        <f>FIXED(100*AI157/AI155,0)&amp;"g/100ml"</f>
        <v>#DIV/0!</v>
      </c>
      <c r="AK157" s="1274"/>
      <c r="AL157" s="1275"/>
      <c r="AM157" s="1276"/>
      <c r="AN157" s="1277"/>
      <c r="AO157" s="1270"/>
      <c r="AP157" s="1270"/>
      <c r="AQ157" s="1278"/>
      <c r="AR157" s="1270"/>
      <c r="AS157" s="1270"/>
    </row>
    <row r="158" spans="1:45" ht="13.5">
      <c r="A158" s="641"/>
      <c r="B158" s="902"/>
      <c r="C158" s="2906" t="s">
        <v>994</v>
      </c>
      <c r="D158" s="2906"/>
      <c r="E158" s="797"/>
      <c r="F158" s="954">
        <f>5*(0.1+1.125*M145)/28.3495</f>
        <v>0.1826399054657049</v>
      </c>
      <c r="G158" s="3033" t="str">
        <f>"oz = "&amp;FIXED(F158*28.3495)&amp;"g = "&amp;FIXED(F158*28.3495/5)&amp;" tsp (approx.)"</f>
        <v>oz = 5.18g = 1.04 tsp (approx.)</v>
      </c>
      <c r="H158" s="3033"/>
      <c r="I158" s="3033"/>
      <c r="J158" s="3033"/>
      <c r="K158" s="3033"/>
      <c r="L158" s="797"/>
      <c r="M158" s="797"/>
      <c r="N158" s="797"/>
      <c r="O158" s="797"/>
      <c r="P158" s="797"/>
      <c r="Q158" s="797"/>
      <c r="R158" s="797"/>
      <c r="S158" s="797"/>
      <c r="T158" s="797"/>
      <c r="U158" s="1967">
        <f t="shared" si="92"/>
        <v>15.099999999999962</v>
      </c>
      <c r="V158" s="970">
        <f t="shared" si="90"/>
        <v>428.0774499999989</v>
      </c>
      <c r="W158" s="658"/>
      <c r="AC158" s="648"/>
      <c r="AD158" s="646"/>
      <c r="AE158" s="646"/>
      <c r="AF158" s="646"/>
      <c r="AG158" s="1269"/>
      <c r="AH158" s="1269"/>
      <c r="AI158" s="1269"/>
      <c r="AJ158" s="1273"/>
      <c r="AK158" s="1274"/>
      <c r="AL158" s="1275"/>
      <c r="AM158" s="1276"/>
      <c r="AN158" s="1277"/>
      <c r="AO158" s="1270"/>
      <c r="AP158" s="1270"/>
      <c r="AQ158" s="1278"/>
      <c r="AR158" s="1270"/>
      <c r="AS158" s="1270"/>
    </row>
    <row r="159" spans="1:45" ht="15" customHeight="1">
      <c r="A159" s="641"/>
      <c r="B159" s="902"/>
      <c r="C159" s="797"/>
      <c r="D159" s="797"/>
      <c r="E159" s="797"/>
      <c r="F159" s="792"/>
      <c r="G159" s="797"/>
      <c r="H159" s="797"/>
      <c r="I159" s="797"/>
      <c r="J159" s="797"/>
      <c r="K159" s="665"/>
      <c r="L159" s="665"/>
      <c r="M159" s="665"/>
      <c r="N159" s="3030" t="s">
        <v>839</v>
      </c>
      <c r="O159" s="3031"/>
      <c r="P159" s="3031"/>
      <c r="Q159" s="3031"/>
      <c r="R159" s="3031"/>
      <c r="S159" s="3032"/>
      <c r="T159" s="840"/>
      <c r="U159" s="1967">
        <f t="shared" si="92"/>
        <v>15.199999999999962</v>
      </c>
      <c r="V159" s="970">
        <f t="shared" si="90"/>
        <v>430.9123999999989</v>
      </c>
      <c r="W159" s="658"/>
      <c r="X159" s="648"/>
      <c r="Y159" s="648"/>
      <c r="Z159" s="1269"/>
      <c r="AA159" s="1269"/>
      <c r="AB159" s="1269"/>
      <c r="AC159" s="1269"/>
      <c r="AD159" s="1269"/>
      <c r="AE159" s="1269"/>
      <c r="AF159" s="1269"/>
      <c r="AG159" s="1269"/>
      <c r="AH159" s="1269"/>
      <c r="AI159" s="1269"/>
      <c r="AJ159" s="1280"/>
      <c r="AK159" s="1281"/>
      <c r="AL159" s="1282"/>
      <c r="AM159" s="1270"/>
      <c r="AN159" s="1270"/>
      <c r="AO159" s="1270"/>
      <c r="AP159" s="1270"/>
      <c r="AQ159" s="1270"/>
      <c r="AR159" s="1270"/>
      <c r="AS159" s="1270"/>
    </row>
    <row r="160" spans="1:39" ht="15" customHeight="1">
      <c r="A160" s="641"/>
      <c r="B160" s="641"/>
      <c r="C160" s="641"/>
      <c r="D160" s="641"/>
      <c r="E160" s="641"/>
      <c r="F160" s="792"/>
      <c r="G160" s="1696"/>
      <c r="H160" s="1696"/>
      <c r="I160" s="1696"/>
      <c r="J160" s="1696"/>
      <c r="K160" s="1696"/>
      <c r="L160" s="1696"/>
      <c r="M160" s="1697"/>
      <c r="N160" s="802" t="s">
        <v>712</v>
      </c>
      <c r="O160" s="803" t="s">
        <v>713</v>
      </c>
      <c r="P160" s="804" t="s">
        <v>708</v>
      </c>
      <c r="Q160" s="804" t="s">
        <v>709</v>
      </c>
      <c r="R160" s="804" t="s">
        <v>710</v>
      </c>
      <c r="S160" s="805" t="s">
        <v>711</v>
      </c>
      <c r="T160" s="799"/>
      <c r="U160" s="968">
        <f t="shared" si="92"/>
        <v>15.299999999999962</v>
      </c>
      <c r="V160" s="970">
        <f t="shared" si="90"/>
        <v>433.7473499999989</v>
      </c>
      <c r="W160" s="658"/>
      <c r="X160" s="648"/>
      <c r="Y160" s="648"/>
      <c r="Z160" s="1269"/>
      <c r="AA160" s="1269"/>
      <c r="AB160" s="648"/>
      <c r="AC160" s="648"/>
      <c r="AD160" s="648"/>
      <c r="AE160" s="648"/>
      <c r="AF160" s="648"/>
      <c r="AG160" s="648"/>
      <c r="AH160" s="648"/>
      <c r="AI160" s="648"/>
      <c r="AJ160" s="720"/>
      <c r="AK160" s="800"/>
      <c r="AL160" s="801"/>
      <c r="AM160" s="806"/>
    </row>
    <row r="161" spans="1:37" ht="15" customHeight="1">
      <c r="A161" s="641"/>
      <c r="B161" s="641"/>
      <c r="C161" s="641"/>
      <c r="D161" s="641"/>
      <c r="E161" s="641"/>
      <c r="F161" s="976"/>
      <c r="G161" s="3035" t="s">
        <v>840</v>
      </c>
      <c r="H161" s="3035"/>
      <c r="I161" s="3035"/>
      <c r="J161" s="3035"/>
      <c r="K161" s="3035"/>
      <c r="L161" s="3035"/>
      <c r="M161" s="3036"/>
      <c r="N161" s="807">
        <f aca="true" t="shared" si="93" ref="N161:S161">SUM(AC16:AC141)</f>
        <v>1360.8</v>
      </c>
      <c r="O161" s="807">
        <f t="shared" si="93"/>
        <v>2903.04</v>
      </c>
      <c r="P161" s="808">
        <f t="shared" si="93"/>
        <v>0.45360000000000006</v>
      </c>
      <c r="Q161" s="808">
        <f t="shared" si="93"/>
        <v>2.7216000000000005</v>
      </c>
      <c r="R161" s="808">
        <f t="shared" si="93"/>
        <v>3.6288000000000005</v>
      </c>
      <c r="S161" s="808">
        <f t="shared" si="93"/>
        <v>0.5987520000000001</v>
      </c>
      <c r="T161" s="809" t="s">
        <v>841</v>
      </c>
      <c r="U161" s="968">
        <f t="shared" si="92"/>
        <v>15.399999999999961</v>
      </c>
      <c r="V161" s="970">
        <f t="shared" si="90"/>
        <v>436.5822999999989</v>
      </c>
      <c r="W161" s="641"/>
      <c r="X161" s="648"/>
      <c r="Y161" s="648"/>
      <c r="Z161" s="1269"/>
      <c r="AA161" s="1269"/>
      <c r="AB161" s="648"/>
      <c r="AC161" s="648"/>
      <c r="AD161" s="648"/>
      <c r="AE161" s="648"/>
      <c r="AF161" s="648"/>
      <c r="AG161" s="648"/>
      <c r="AH161" s="648"/>
      <c r="AI161" s="648"/>
      <c r="AJ161" s="720"/>
      <c r="AK161" s="720"/>
    </row>
    <row r="162" spans="1:37" ht="15" customHeight="1" hidden="1">
      <c r="A162" s="641"/>
      <c r="B162" s="641"/>
      <c r="C162" s="641"/>
      <c r="D162" s="641"/>
      <c r="E162" s="641"/>
      <c r="F162" s="792"/>
      <c r="G162" s="769"/>
      <c r="H162" s="810"/>
      <c r="I162" s="810"/>
      <c r="J162" s="810"/>
      <c r="K162" s="810"/>
      <c r="L162" s="811"/>
      <c r="M162" s="647"/>
      <c r="N162" s="812">
        <v>150</v>
      </c>
      <c r="O162" s="812">
        <v>550</v>
      </c>
      <c r="P162" s="813">
        <v>0.1</v>
      </c>
      <c r="Q162" s="814">
        <v>0.2</v>
      </c>
      <c r="R162" s="814">
        <v>0.2</v>
      </c>
      <c r="S162" s="814">
        <v>0.2</v>
      </c>
      <c r="T162" s="809" t="s">
        <v>841</v>
      </c>
      <c r="U162" s="968">
        <f aca="true" t="shared" si="94" ref="U162:U169">U161+0.1</f>
        <v>15.499999999999961</v>
      </c>
      <c r="V162" s="970">
        <f t="shared" si="90"/>
        <v>439.4172499999989</v>
      </c>
      <c r="W162" s="641"/>
      <c r="X162" s="648"/>
      <c r="Y162" s="648"/>
      <c r="Z162" s="1269"/>
      <c r="AA162" s="1269"/>
      <c r="AB162" s="648"/>
      <c r="AC162" s="648"/>
      <c r="AD162" s="648"/>
      <c r="AE162" s="648"/>
      <c r="AF162" s="648"/>
      <c r="AG162" s="648"/>
      <c r="AH162" s="648"/>
      <c r="AI162" s="648"/>
      <c r="AJ162" s="720"/>
      <c r="AK162" s="720"/>
    </row>
    <row r="163" spans="1:39" ht="15" customHeight="1">
      <c r="A163" s="641"/>
      <c r="B163" s="641"/>
      <c r="C163" s="641"/>
      <c r="D163" s="641"/>
      <c r="E163" s="641"/>
      <c r="F163" s="950" t="s">
        <v>105</v>
      </c>
      <c r="G163" s="2985" t="str">
        <f>"Nutrient &amp; Vitamins required for "&amp;FIXED(G182,2)&amp;" litres must"</f>
        <v>Nutrient &amp; Vitamins required for 4.85 litres must</v>
      </c>
      <c r="H163" s="2985"/>
      <c r="I163" s="2985"/>
      <c r="J163" s="2985"/>
      <c r="K163" s="2985"/>
      <c r="L163" s="2985"/>
      <c r="M163" s="2986"/>
      <c r="N163" s="815">
        <f aca="true" t="shared" si="95" ref="N163:S163">$G182*N162</f>
        <v>728.1336</v>
      </c>
      <c r="O163" s="815">
        <f t="shared" si="95"/>
        <v>2669.8232000000003</v>
      </c>
      <c r="P163" s="816">
        <f t="shared" si="95"/>
        <v>0.48542240000000003</v>
      </c>
      <c r="Q163" s="817">
        <f t="shared" si="95"/>
        <v>0.9708448000000001</v>
      </c>
      <c r="R163" s="817">
        <f t="shared" si="95"/>
        <v>0.9708448000000001</v>
      </c>
      <c r="S163" s="817">
        <f t="shared" si="95"/>
        <v>0.9708448000000001</v>
      </c>
      <c r="T163" s="809" t="s">
        <v>841</v>
      </c>
      <c r="U163" s="968">
        <f>U161+0.1</f>
        <v>15.499999999999961</v>
      </c>
      <c r="V163" s="970">
        <f t="shared" si="90"/>
        <v>439.4172499999989</v>
      </c>
      <c r="W163" s="641"/>
      <c r="X163" s="648"/>
      <c r="Y163" s="648"/>
      <c r="Z163" s="1269"/>
      <c r="AA163" s="1269"/>
      <c r="AB163" s="648"/>
      <c r="AC163" s="648"/>
      <c r="AD163" s="648"/>
      <c r="AE163" s="648"/>
      <c r="AF163" s="648"/>
      <c r="AG163" s="648"/>
      <c r="AH163" s="648"/>
      <c r="AI163" s="648"/>
      <c r="AJ163" s="720"/>
      <c r="AK163" s="720"/>
      <c r="AM163" s="806"/>
    </row>
    <row r="164" spans="1:39" ht="13.5">
      <c r="A164" s="641"/>
      <c r="B164" s="641"/>
      <c r="C164" s="641"/>
      <c r="D164" s="641"/>
      <c r="E164" s="641"/>
      <c r="F164" s="1578"/>
      <c r="G164" s="3058" t="str">
        <f>" = "&amp;FIXED(453.6*(F164/16))&amp;"g = "&amp;FIXED(453.6*(F164/16)/4.5)&amp;" tsp nutrient give a total of"</f>
        <v> = 0.00g = 0.00 tsp nutrient give a total of</v>
      </c>
      <c r="H164" s="3058"/>
      <c r="I164" s="3058"/>
      <c r="J164" s="3058"/>
      <c r="K164" s="3058"/>
      <c r="L164" s="3058"/>
      <c r="M164" s="3059"/>
      <c r="N164" s="818">
        <f>(N161-N163)+N166*(453.6*(F164/16))</f>
        <v>632.6664</v>
      </c>
      <c r="O164" s="818">
        <f>(O161-O163)+O166*(453.6*(F164/16))</f>
        <v>233.2167999999997</v>
      </c>
      <c r="P164" s="819" t="s">
        <v>841</v>
      </c>
      <c r="Q164" s="820"/>
      <c r="R164" s="820"/>
      <c r="S164" s="820"/>
      <c r="T164" s="821"/>
      <c r="U164" s="968">
        <f t="shared" si="94"/>
        <v>15.59999999999996</v>
      </c>
      <c r="V164" s="970">
        <f t="shared" si="90"/>
        <v>442.2521999999989</v>
      </c>
      <c r="W164" s="651"/>
      <c r="X164" s="648"/>
      <c r="Y164" s="648"/>
      <c r="Z164" s="1269"/>
      <c r="AA164" s="1269"/>
      <c r="AB164" s="648"/>
      <c r="AC164" s="648"/>
      <c r="AD164" s="648"/>
      <c r="AE164" s="648"/>
      <c r="AF164" s="648"/>
      <c r="AG164" s="648"/>
      <c r="AH164" s="648"/>
      <c r="AI164" s="648"/>
      <c r="AJ164" s="720"/>
      <c r="AK164" s="720"/>
      <c r="AM164" s="806"/>
    </row>
    <row r="165" spans="1:39" ht="13.5">
      <c r="A165" s="641"/>
      <c r="B165" s="641"/>
      <c r="C165" s="641"/>
      <c r="D165" s="641"/>
      <c r="E165" s="641"/>
      <c r="F165" s="1579"/>
      <c r="G165" s="3058" t="s">
        <v>299</v>
      </c>
      <c r="H165" s="3058"/>
      <c r="I165" s="3058"/>
      <c r="J165" s="3058"/>
      <c r="K165" s="3058"/>
      <c r="L165" s="3058"/>
      <c r="M165" s="3059"/>
      <c r="N165" s="822"/>
      <c r="O165" s="823"/>
      <c r="P165" s="824">
        <f>(P161-P163)+P166*$F165</f>
        <v>-0.03182239999999997</v>
      </c>
      <c r="Q165" s="825">
        <f>(Q161-Q163)+Q166*$F165</f>
        <v>1.7507552000000004</v>
      </c>
      <c r="R165" s="825">
        <f>(R161-R163)+R166*$F165</f>
        <v>2.6579552000000004</v>
      </c>
      <c r="S165" s="826">
        <f>(S161-S163)+S166*$F165</f>
        <v>-0.3720928</v>
      </c>
      <c r="T165" s="809" t="s">
        <v>841</v>
      </c>
      <c r="U165" s="968">
        <f t="shared" si="94"/>
        <v>15.69999999999996</v>
      </c>
      <c r="V165" s="970">
        <f t="shared" si="90"/>
        <v>445.08714999999887</v>
      </c>
      <c r="W165" s="651"/>
      <c r="X165" s="648"/>
      <c r="Y165" s="648"/>
      <c r="Z165" s="1269"/>
      <c r="AA165" s="1269"/>
      <c r="AB165" s="648"/>
      <c r="AC165" s="648"/>
      <c r="AD165" s="648"/>
      <c r="AE165" s="648"/>
      <c r="AF165" s="648"/>
      <c r="AG165" s="648"/>
      <c r="AH165" s="648"/>
      <c r="AI165" s="648"/>
      <c r="AJ165" s="827"/>
      <c r="AK165" s="828"/>
      <c r="AL165" s="760"/>
      <c r="AM165" s="806"/>
    </row>
    <row r="166" spans="1:39" ht="13.5" hidden="1">
      <c r="A166" s="641"/>
      <c r="B166" s="641"/>
      <c r="C166" s="641"/>
      <c r="D166" s="641"/>
      <c r="E166" s="641"/>
      <c r="F166" s="641"/>
      <c r="G166" s="641"/>
      <c r="H166" s="641"/>
      <c r="I166" s="665"/>
      <c r="J166" s="665"/>
      <c r="K166" s="665"/>
      <c r="L166" s="797"/>
      <c r="M166" s="797"/>
      <c r="N166" s="829">
        <v>210</v>
      </c>
      <c r="O166" s="830">
        <v>120</v>
      </c>
      <c r="P166" s="831">
        <v>1.4</v>
      </c>
      <c r="Q166" s="831">
        <v>18</v>
      </c>
      <c r="R166" s="831">
        <v>6</v>
      </c>
      <c r="S166" s="832">
        <v>2</v>
      </c>
      <c r="T166" s="833"/>
      <c r="U166" s="968">
        <f t="shared" si="94"/>
        <v>15.79999999999996</v>
      </c>
      <c r="V166" s="970">
        <f t="shared" si="90"/>
        <v>447.92209999999886</v>
      </c>
      <c r="W166" s="651"/>
      <c r="X166" s="648"/>
      <c r="Y166" s="648"/>
      <c r="Z166" s="1269"/>
      <c r="AA166" s="1269"/>
      <c r="AB166" s="648"/>
      <c r="AC166" s="648"/>
      <c r="AD166" s="648"/>
      <c r="AE166" s="648"/>
      <c r="AF166" s="648"/>
      <c r="AG166" s="648"/>
      <c r="AH166" s="648"/>
      <c r="AI166" s="648"/>
      <c r="AJ166" s="827"/>
      <c r="AK166" s="828"/>
      <c r="AL166" s="760"/>
      <c r="AM166" s="806"/>
    </row>
    <row r="167" spans="1:39" ht="15" customHeight="1" hidden="1">
      <c r="A167" s="641"/>
      <c r="B167" s="641"/>
      <c r="C167" s="641"/>
      <c r="D167" s="641"/>
      <c r="E167" s="641"/>
      <c r="F167" s="641"/>
      <c r="G167" s="641"/>
      <c r="H167" s="641"/>
      <c r="I167" s="793"/>
      <c r="J167" s="797"/>
      <c r="K167" s="797"/>
      <c r="L167" s="665"/>
      <c r="M167" s="665"/>
      <c r="N167" s="829" t="s">
        <v>842</v>
      </c>
      <c r="O167" s="830" t="s">
        <v>843</v>
      </c>
      <c r="P167" s="830" t="s">
        <v>844</v>
      </c>
      <c r="Q167" s="830" t="s">
        <v>844</v>
      </c>
      <c r="R167" s="830" t="s">
        <v>844</v>
      </c>
      <c r="S167" s="834" t="s">
        <v>844</v>
      </c>
      <c r="T167" s="833"/>
      <c r="U167" s="968">
        <f t="shared" si="94"/>
        <v>15.89999999999996</v>
      </c>
      <c r="V167" s="970">
        <f t="shared" si="90"/>
        <v>450.75704999999886</v>
      </c>
      <c r="W167" s="651"/>
      <c r="X167" s="648"/>
      <c r="Y167" s="648"/>
      <c r="Z167" s="1269"/>
      <c r="AA167" s="1269"/>
      <c r="AB167" s="648"/>
      <c r="AC167" s="648"/>
      <c r="AD167" s="648"/>
      <c r="AE167" s="648"/>
      <c r="AF167" s="648"/>
      <c r="AG167" s="648"/>
      <c r="AH167" s="648"/>
      <c r="AI167" s="648"/>
      <c r="AJ167" s="835"/>
      <c r="AK167" s="828"/>
      <c r="AL167" s="760"/>
      <c r="AM167" s="806"/>
    </row>
    <row r="168" spans="1:39" ht="15" customHeight="1">
      <c r="A168" s="641"/>
      <c r="B168" s="641"/>
      <c r="C168" s="798"/>
      <c r="D168" s="641"/>
      <c r="E168" s="641"/>
      <c r="F168" s="975"/>
      <c r="G168" s="3066" t="s">
        <v>845</v>
      </c>
      <c r="H168" s="3066"/>
      <c r="I168" s="3066"/>
      <c r="J168" s="3066"/>
      <c r="K168" s="3066"/>
      <c r="L168" s="3066"/>
      <c r="M168" s="3067"/>
      <c r="N168" s="2959" t="s">
        <v>848</v>
      </c>
      <c r="O168" s="2960"/>
      <c r="P168" s="2960"/>
      <c r="Q168" s="2960"/>
      <c r="R168" s="2960"/>
      <c r="S168" s="2961"/>
      <c r="T168" s="836"/>
      <c r="U168" s="968">
        <f>U165+0.1</f>
        <v>15.79999999999996</v>
      </c>
      <c r="V168" s="970">
        <f t="shared" si="90"/>
        <v>447.92209999999886</v>
      </c>
      <c r="W168" s="641"/>
      <c r="X168" s="648"/>
      <c r="Y168" s="648"/>
      <c r="Z168" s="1269"/>
      <c r="AA168" s="1269"/>
      <c r="AB168" s="648"/>
      <c r="AC168" s="648"/>
      <c r="AD168" s="648"/>
      <c r="AE168" s="648"/>
      <c r="AF168" s="648"/>
      <c r="AG168" s="648"/>
      <c r="AH168" s="648"/>
      <c r="AI168" s="648"/>
      <c r="AJ168" s="827"/>
      <c r="AK168" s="828"/>
      <c r="AL168" s="760"/>
      <c r="AM168" s="806"/>
    </row>
    <row r="169" spans="1:39" ht="13.5">
      <c r="A169" s="641"/>
      <c r="B169" s="641"/>
      <c r="C169" s="798"/>
      <c r="D169" s="641"/>
      <c r="E169" s="798"/>
      <c r="F169" s="798"/>
      <c r="G169" s="840"/>
      <c r="H169" s="798"/>
      <c r="I169" s="641"/>
      <c r="J169" s="798"/>
      <c r="K169" s="798"/>
      <c r="L169" s="798"/>
      <c r="M169" s="798"/>
      <c r="N169" s="837"/>
      <c r="O169" s="798"/>
      <c r="P169" s="798"/>
      <c r="R169" s="798"/>
      <c r="S169" s="798"/>
      <c r="T169" s="798"/>
      <c r="U169" s="968">
        <f t="shared" si="94"/>
        <v>15.89999999999996</v>
      </c>
      <c r="V169" s="970">
        <f t="shared" si="90"/>
        <v>450.75704999999886</v>
      </c>
      <c r="W169" s="838"/>
      <c r="X169" s="648"/>
      <c r="Y169" s="648"/>
      <c r="Z169" s="1269"/>
      <c r="AA169" s="1269"/>
      <c r="AB169" s="648"/>
      <c r="AC169" s="648"/>
      <c r="AD169" s="648"/>
      <c r="AE169" s="648"/>
      <c r="AF169" s="648"/>
      <c r="AG169" s="648"/>
      <c r="AH169" s="648"/>
      <c r="AI169" s="648"/>
      <c r="AJ169" s="720"/>
      <c r="AK169" s="800"/>
      <c r="AL169" s="653"/>
      <c r="AM169" s="806"/>
    </row>
    <row r="170" spans="1:38" ht="13.5">
      <c r="A170" s="641"/>
      <c r="B170" s="641"/>
      <c r="C170" s="3027" t="s">
        <v>995</v>
      </c>
      <c r="D170" s="3027"/>
      <c r="E170" s="3027"/>
      <c r="F170" s="3027"/>
      <c r="G170" s="3027"/>
      <c r="H170" s="3027"/>
      <c r="I170" s="3027"/>
      <c r="J170" s="3027"/>
      <c r="K170" s="3027"/>
      <c r="L170" s="3027"/>
      <c r="M170" s="3027"/>
      <c r="N170" s="3027"/>
      <c r="O170" s="3027"/>
      <c r="P170" s="3027"/>
      <c r="Q170" s="3027"/>
      <c r="R170" s="3027"/>
      <c r="S170" s="840"/>
      <c r="T170" s="839"/>
      <c r="U170" s="968">
        <f t="shared" si="92"/>
        <v>15.99999999999996</v>
      </c>
      <c r="V170" s="970">
        <f t="shared" si="90"/>
        <v>453.59199999999885</v>
      </c>
      <c r="W170" s="838"/>
      <c r="X170" s="648"/>
      <c r="Y170" s="648"/>
      <c r="Z170" s="1269"/>
      <c r="AA170" s="1269"/>
      <c r="AB170" s="648"/>
      <c r="AC170" s="648"/>
      <c r="AD170" s="648"/>
      <c r="AE170" s="648"/>
      <c r="AF170" s="648"/>
      <c r="AG170" s="648"/>
      <c r="AH170" s="648"/>
      <c r="AI170" s="648"/>
      <c r="AJ170" s="652"/>
      <c r="AK170" s="652"/>
      <c r="AL170" s="653"/>
    </row>
    <row r="171" spans="1:23" ht="13.5">
      <c r="A171" s="641"/>
      <c r="B171" s="641"/>
      <c r="C171" s="3037" t="s">
        <v>849</v>
      </c>
      <c r="D171" s="3038"/>
      <c r="E171" s="3055"/>
      <c r="F171" s="3055"/>
      <c r="G171" s="3062" t="str">
        <f>"oz or "&amp;FIXED(E171*28.3495,0)&amp;"g (0 nom.) for an estimated gravity increase of "&amp;FIXED((H173*0.375/G$178),1)&amp;" degree ("&amp;IF(D6&gt;1020,"Dessert)",IF(D6&gt;1015,"Sweet)",IF(D6&gt;1010,"Medium Sweet)",IF(D6&gt;1005,"Medium)",IF(D6&gt;998,"Medium dry)",IF(D6&gt;0,"Dry)"))))))</f>
        <v>oz or 0g (0 nom.) for an estimated gravity increase of 0.0 degree (Dry)</v>
      </c>
      <c r="H171" s="3062"/>
      <c r="I171" s="3062"/>
      <c r="J171" s="3062"/>
      <c r="K171" s="3062"/>
      <c r="L171" s="3062"/>
      <c r="M171" s="3062"/>
      <c r="N171" s="3062"/>
      <c r="O171" s="3062"/>
      <c r="P171" s="3062"/>
      <c r="Q171" s="3062"/>
      <c r="R171" s="3063"/>
      <c r="S171" s="840"/>
      <c r="T171" s="839"/>
      <c r="U171" s="968">
        <f t="shared" si="92"/>
        <v>16.09999999999996</v>
      </c>
      <c r="V171" s="970">
        <f t="shared" si="90"/>
        <v>456.42694999999884</v>
      </c>
      <c r="W171" s="838"/>
    </row>
    <row r="172" spans="1:23" ht="13.5">
      <c r="A172" s="641"/>
      <c r="B172" s="641"/>
      <c r="C172" s="3025" t="str">
        <f>"Assume "&amp;E171&amp;"g sugar makes approx."</f>
        <v>Assume g sugar makes approx.</v>
      </c>
      <c r="D172" s="3026"/>
      <c r="E172" s="3056">
        <f>(375*H$173)/(300)</f>
        <v>0</v>
      </c>
      <c r="F172" s="3056"/>
      <c r="G172" s="3064" t="str">
        <f>"ml syrup, S.G. 300, by adding approx. "&amp;FIXED((E172-0.58*H173),-1)&amp;"ml. of water."</f>
        <v>ml syrup, S.G. 300, by adding approx. 0ml. of water.</v>
      </c>
      <c r="H172" s="3064"/>
      <c r="I172" s="3064"/>
      <c r="J172" s="3064"/>
      <c r="K172" s="3064"/>
      <c r="L172" s="3064"/>
      <c r="M172" s="3064"/>
      <c r="N172" s="3064"/>
      <c r="O172" s="3064"/>
      <c r="P172" s="3064"/>
      <c r="Q172" s="3064"/>
      <c r="R172" s="3065"/>
      <c r="S172" s="840"/>
      <c r="T172" s="839"/>
      <c r="U172" s="968">
        <f t="shared" si="92"/>
        <v>16.19999999999996</v>
      </c>
      <c r="V172" s="970">
        <f t="shared" si="90"/>
        <v>459.26189999999883</v>
      </c>
      <c r="W172" s="838"/>
    </row>
    <row r="173" spans="1:23" ht="15" customHeight="1">
      <c r="A173" s="641"/>
      <c r="B173" s="641"/>
      <c r="C173" s="3020" t="s">
        <v>566</v>
      </c>
      <c r="D173" s="3021"/>
      <c r="E173" s="2982" t="s">
        <v>560</v>
      </c>
      <c r="F173" s="2999"/>
      <c r="G173" s="2999"/>
      <c r="H173" s="1698">
        <f>E171*28.3495</f>
        <v>0</v>
      </c>
      <c r="I173" s="2982" t="s">
        <v>561</v>
      </c>
      <c r="J173" s="2983"/>
      <c r="K173" s="2982" t="s">
        <v>562</v>
      </c>
      <c r="L173" s="2983"/>
      <c r="M173" s="2982" t="s">
        <v>563</v>
      </c>
      <c r="N173" s="2983"/>
      <c r="O173" s="2982" t="s">
        <v>564</v>
      </c>
      <c r="P173" s="2983"/>
      <c r="Q173" s="2982" t="s">
        <v>565</v>
      </c>
      <c r="R173" s="2983"/>
      <c r="S173" s="939"/>
      <c r="T173" s="839"/>
      <c r="U173" s="968">
        <f t="shared" si="92"/>
        <v>16.29999999999996</v>
      </c>
      <c r="V173" s="970">
        <f t="shared" si="90"/>
        <v>462.0968499999989</v>
      </c>
      <c r="W173" s="657"/>
    </row>
    <row r="174" spans="1:23" ht="15" customHeight="1">
      <c r="A174" s="641"/>
      <c r="B174" s="641"/>
      <c r="C174" s="3024" t="s">
        <v>575</v>
      </c>
      <c r="D174" s="3024"/>
      <c r="E174" s="2982" t="s">
        <v>852</v>
      </c>
      <c r="F174" s="2999"/>
      <c r="G174" s="2983"/>
      <c r="H174" s="1700">
        <f>(H173*0.375/G$178)</f>
        <v>0</v>
      </c>
      <c r="I174" s="2982" t="s">
        <v>853</v>
      </c>
      <c r="J174" s="2983"/>
      <c r="K174" s="2982" t="s">
        <v>854</v>
      </c>
      <c r="L174" s="2983"/>
      <c r="M174" s="2982" t="s">
        <v>855</v>
      </c>
      <c r="N174" s="2983"/>
      <c r="O174" s="2982" t="s">
        <v>856</v>
      </c>
      <c r="P174" s="2983"/>
      <c r="Q174" s="2982" t="s">
        <v>857</v>
      </c>
      <c r="R174" s="2983"/>
      <c r="S174" s="939"/>
      <c r="T174" s="839"/>
      <c r="U174" s="968">
        <f t="shared" si="92"/>
        <v>16.399999999999963</v>
      </c>
      <c r="V174" s="970">
        <f t="shared" si="90"/>
        <v>464.93179999999893</v>
      </c>
      <c r="W174" s="657"/>
    </row>
    <row r="175" spans="1:23" ht="15" customHeight="1">
      <c r="A175" s="641"/>
      <c r="B175" s="641"/>
      <c r="C175" s="3022" t="s">
        <v>858</v>
      </c>
      <c r="D175" s="3023"/>
      <c r="E175" s="2997" t="s">
        <v>859</v>
      </c>
      <c r="F175" s="2998"/>
      <c r="G175" s="2998"/>
      <c r="H175" s="1699"/>
      <c r="I175" s="2982" t="s">
        <v>860</v>
      </c>
      <c r="J175" s="2983"/>
      <c r="K175" s="2982" t="s">
        <v>861</v>
      </c>
      <c r="L175" s="2983"/>
      <c r="M175" s="2982" t="s">
        <v>862</v>
      </c>
      <c r="N175" s="2983"/>
      <c r="O175" s="2982" t="s">
        <v>863</v>
      </c>
      <c r="P175" s="2983"/>
      <c r="Q175" s="2982" t="s">
        <v>864</v>
      </c>
      <c r="R175" s="2983"/>
      <c r="S175" s="939"/>
      <c r="T175" s="839"/>
      <c r="U175" s="968">
        <f t="shared" si="92"/>
        <v>16.499999999999964</v>
      </c>
      <c r="V175" s="970">
        <f t="shared" si="90"/>
        <v>467.766749999999</v>
      </c>
      <c r="W175" s="657"/>
    </row>
    <row r="176" spans="1:23" ht="15" customHeight="1">
      <c r="A176" s="641"/>
      <c r="B176" s="641"/>
      <c r="C176" s="3012" t="s">
        <v>554</v>
      </c>
      <c r="D176" s="3012"/>
      <c r="E176" s="2984" t="s">
        <v>555</v>
      </c>
      <c r="F176" s="2984"/>
      <c r="G176" s="2984"/>
      <c r="H176" s="1701"/>
      <c r="I176" s="2984" t="s">
        <v>34</v>
      </c>
      <c r="J176" s="2984"/>
      <c r="K176" s="2984" t="s">
        <v>556</v>
      </c>
      <c r="L176" s="2984"/>
      <c r="M176" s="2984" t="s">
        <v>557</v>
      </c>
      <c r="N176" s="2984"/>
      <c r="O176" s="2984" t="s">
        <v>558</v>
      </c>
      <c r="P176" s="2984"/>
      <c r="Q176" s="2984" t="s">
        <v>559</v>
      </c>
      <c r="R176" s="2984"/>
      <c r="S176" s="972"/>
      <c r="T176" s="641"/>
      <c r="U176" s="968">
        <f aca="true" t="shared" si="96" ref="U176:U186">U175+0.1</f>
        <v>16.599999999999966</v>
      </c>
      <c r="V176" s="970">
        <f t="shared" si="90"/>
        <v>470.601699999999</v>
      </c>
      <c r="W176" s="657"/>
    </row>
    <row r="177" spans="1:23" ht="15" customHeight="1">
      <c r="A177" s="641"/>
      <c r="B177" s="641"/>
      <c r="C177" s="844"/>
      <c r="D177" s="844"/>
      <c r="E177" s="844"/>
      <c r="F177" s="844"/>
      <c r="G177" s="845"/>
      <c r="H177" s="845"/>
      <c r="I177" s="845"/>
      <c r="J177" s="845"/>
      <c r="K177" s="845"/>
      <c r="L177" s="972"/>
      <c r="M177" s="972"/>
      <c r="N177" s="972"/>
      <c r="O177" s="972"/>
      <c r="P177" s="972"/>
      <c r="Q177" s="972"/>
      <c r="R177" s="972"/>
      <c r="S177" s="972"/>
      <c r="T177" s="641"/>
      <c r="U177" s="968">
        <f>U176+0.1</f>
        <v>16.699999999999967</v>
      </c>
      <c r="V177" s="970">
        <f t="shared" si="90"/>
        <v>473.4366499999991</v>
      </c>
      <c r="W177" s="657"/>
    </row>
    <row r="178" spans="1:23" ht="13.5">
      <c r="A178" s="651"/>
      <c r="B178" s="651"/>
      <c r="C178" s="2931" t="s">
        <v>865</v>
      </c>
      <c r="D178" s="2931"/>
      <c r="E178" s="844"/>
      <c r="F178" s="844"/>
      <c r="G178" s="1593">
        <f>D7</f>
        <v>4.5</v>
      </c>
      <c r="H178" s="1594"/>
      <c r="I178" s="2931" t="s">
        <v>307</v>
      </c>
      <c r="J178" s="2931"/>
      <c r="K178" s="2931"/>
      <c r="L178" s="2931"/>
      <c r="M178" s="2948" t="s">
        <v>1262</v>
      </c>
      <c r="N178" s="2937"/>
      <c r="O178" s="2937"/>
      <c r="P178" s="2937"/>
      <c r="Q178" s="2937"/>
      <c r="R178" s="2937"/>
      <c r="S178" s="846">
        <f>(G145+G142+10)/1000</f>
        <v>2.0511999999999997</v>
      </c>
      <c r="T178" s="657" t="s">
        <v>307</v>
      </c>
      <c r="U178" s="968">
        <f>U177+0.1</f>
        <v>16.79999999999997</v>
      </c>
      <c r="V178" s="970">
        <f t="shared" si="90"/>
        <v>476.2715999999991</v>
      </c>
      <c r="W178" s="657"/>
    </row>
    <row r="179" spans="1:23" ht="13.5">
      <c r="A179" s="651"/>
      <c r="B179" s="651"/>
      <c r="C179" s="3013" t="s">
        <v>866</v>
      </c>
      <c r="D179" s="3014"/>
      <c r="E179" s="844"/>
      <c r="F179" s="844"/>
      <c r="G179" s="2139">
        <v>200</v>
      </c>
      <c r="H179" s="2140"/>
      <c r="I179" s="3004" t="str">
        <f>"ml ("&amp;FIXED(200*(G178/4.5),0)&amp;" nom. for "&amp;D7&amp;" litres.)"</f>
        <v>ml (200 nom. for 4.5 litres.)</v>
      </c>
      <c r="J179" s="3004"/>
      <c r="K179" s="3004"/>
      <c r="L179" s="3004"/>
      <c r="M179" s="2948" t="s">
        <v>867</v>
      </c>
      <c r="N179" s="2937"/>
      <c r="O179" s="2937"/>
      <c r="P179" s="2937"/>
      <c r="Q179" s="2937"/>
      <c r="R179" s="2937"/>
      <c r="S179" s="1690">
        <f>G182-S178</f>
        <v>2.8030240000000006</v>
      </c>
      <c r="T179" s="657" t="s">
        <v>307</v>
      </c>
      <c r="U179" s="968">
        <f t="shared" si="96"/>
        <v>16.89999999999997</v>
      </c>
      <c r="V179" s="970">
        <f t="shared" si="90"/>
        <v>479.1065499999991</v>
      </c>
      <c r="W179" s="657"/>
    </row>
    <row r="180" spans="1:39" ht="13.5">
      <c r="A180" s="641"/>
      <c r="B180" s="641"/>
      <c r="C180" s="3010" t="s">
        <v>868</v>
      </c>
      <c r="D180" s="3011"/>
      <c r="E180" s="844"/>
      <c r="F180" s="844"/>
      <c r="G180" s="850">
        <f>H142</f>
        <v>154.22400000000002</v>
      </c>
      <c r="H180" s="849"/>
      <c r="I180" s="3006" t="s">
        <v>869</v>
      </c>
      <c r="J180" s="2387"/>
      <c r="K180" s="2387"/>
      <c r="L180" s="2387"/>
      <c r="M180" s="3009" t="s">
        <v>950</v>
      </c>
      <c r="N180" s="3009"/>
      <c r="O180" s="3009"/>
      <c r="P180" s="3009"/>
      <c r="Q180" s="3009"/>
      <c r="R180" s="3009"/>
      <c r="S180" s="3009"/>
      <c r="T180" s="3009"/>
      <c r="U180" s="968">
        <f t="shared" si="96"/>
        <v>16.99999999999997</v>
      </c>
      <c r="V180" s="970">
        <f t="shared" si="90"/>
        <v>481.94149999999917</v>
      </c>
      <c r="W180" s="651"/>
      <c r="Y180" s="1592"/>
      <c r="Z180" s="648"/>
      <c r="AA180" s="648"/>
      <c r="AB180" s="648"/>
      <c r="AC180" s="648"/>
      <c r="AD180" s="648"/>
      <c r="AE180" s="648"/>
      <c r="AF180" s="648"/>
      <c r="AG180" s="648"/>
      <c r="AH180" s="648"/>
      <c r="AI180" s="648"/>
      <c r="AJ180" s="843"/>
      <c r="AK180" s="842"/>
      <c r="AL180" s="848"/>
      <c r="AM180" s="806"/>
    </row>
    <row r="181" spans="1:38" ht="13.5">
      <c r="A181" s="641"/>
      <c r="B181" s="641"/>
      <c r="C181" s="3010" t="s">
        <v>870</v>
      </c>
      <c r="D181" s="3011"/>
      <c r="E181" s="844"/>
      <c r="F181" s="844"/>
      <c r="G181" s="852">
        <f>G178+0.001*(G179+G180)</f>
        <v>4.854224</v>
      </c>
      <c r="H181" s="849"/>
      <c r="I181" s="3006" t="s">
        <v>871</v>
      </c>
      <c r="J181" s="2387"/>
      <c r="K181" s="2387"/>
      <c r="L181" s="2387"/>
      <c r="M181" s="853"/>
      <c r="N181" s="854"/>
      <c r="O181" s="855"/>
      <c r="P181" s="855"/>
      <c r="Q181" s="641"/>
      <c r="R181" s="641"/>
      <c r="S181" s="641"/>
      <c r="T181" s="641"/>
      <c r="U181" s="968">
        <f t="shared" si="96"/>
        <v>17.099999999999973</v>
      </c>
      <c r="V181" s="970">
        <f t="shared" si="90"/>
        <v>484.7764499999992</v>
      </c>
      <c r="W181" s="734"/>
      <c r="X181" s="648"/>
      <c r="Y181" s="648"/>
      <c r="Z181" s="648"/>
      <c r="AA181" s="648"/>
      <c r="AB181" s="648"/>
      <c r="AC181" s="648"/>
      <c r="AD181" s="648"/>
      <c r="AE181" s="648"/>
      <c r="AF181" s="648"/>
      <c r="AG181" s="648"/>
      <c r="AH181" s="648"/>
      <c r="AI181" s="648"/>
      <c r="AJ181" s="843"/>
      <c r="AK181" s="842"/>
      <c r="AL181" s="848"/>
    </row>
    <row r="182" spans="1:38" ht="13.5">
      <c r="A182" s="641"/>
      <c r="B182" s="641"/>
      <c r="C182" s="2931" t="s">
        <v>872</v>
      </c>
      <c r="D182" s="2931"/>
      <c r="E182" s="844"/>
      <c r="F182" s="844"/>
      <c r="G182" s="856">
        <f>G178+(0.001*(G179+G180))-0.001*E172</f>
        <v>4.854224</v>
      </c>
      <c r="H182" s="657"/>
      <c r="I182" s="3007" t="s">
        <v>996</v>
      </c>
      <c r="J182" s="3007"/>
      <c r="K182" s="3007"/>
      <c r="L182" s="3007"/>
      <c r="M182" s="3008"/>
      <c r="N182" s="3008"/>
      <c r="O182" s="3008"/>
      <c r="P182" s="3008"/>
      <c r="Q182" s="3008"/>
      <c r="R182" s="3008"/>
      <c r="S182" s="3008"/>
      <c r="T182" s="641"/>
      <c r="U182" s="968">
        <f>U181+0.1</f>
        <v>17.199999999999974</v>
      </c>
      <c r="V182" s="970">
        <f t="shared" si="90"/>
        <v>487.61139999999926</v>
      </c>
      <c r="W182" s="734"/>
      <c r="X182" s="648"/>
      <c r="AJ182" s="843"/>
      <c r="AK182" s="842"/>
      <c r="AL182" s="848"/>
    </row>
    <row r="183" spans="1:38" ht="13.5">
      <c r="A183" s="641"/>
      <c r="B183" s="641"/>
      <c r="C183" s="641"/>
      <c r="D183" s="657"/>
      <c r="E183" s="844"/>
      <c r="F183" s="844"/>
      <c r="G183" s="857">
        <f>G182-0.001*(G179+G180)</f>
        <v>4.5</v>
      </c>
      <c r="H183" s="657"/>
      <c r="I183" s="2902" t="s">
        <v>873</v>
      </c>
      <c r="J183" s="2387"/>
      <c r="K183" s="2387"/>
      <c r="L183" s="2387"/>
      <c r="M183" s="2387"/>
      <c r="N183" s="2387"/>
      <c r="O183" s="2387"/>
      <c r="P183" s="2387"/>
      <c r="Q183" s="2387"/>
      <c r="R183" s="2387"/>
      <c r="S183" s="2387"/>
      <c r="T183" s="641"/>
      <c r="U183" s="968">
        <f t="shared" si="96"/>
        <v>17.299999999999976</v>
      </c>
      <c r="V183" s="970">
        <f t="shared" si="90"/>
        <v>490.4463499999993</v>
      </c>
      <c r="W183" s="734"/>
      <c r="X183" s="648"/>
      <c r="AJ183" s="843"/>
      <c r="AK183" s="842"/>
      <c r="AL183" s="848"/>
    </row>
    <row r="184" spans="1:38" ht="14.25">
      <c r="A184" s="641"/>
      <c r="B184" s="641"/>
      <c r="C184" s="2906" t="s">
        <v>874</v>
      </c>
      <c r="D184" s="2387"/>
      <c r="E184" s="844"/>
      <c r="F184" s="844"/>
      <c r="G184" s="858">
        <f>1000+I145*375/(1000*G182)</f>
        <v>1074.9891228752526</v>
      </c>
      <c r="H184" s="859"/>
      <c r="I184" s="651"/>
      <c r="J184" s="3005" t="s">
        <v>208</v>
      </c>
      <c r="K184" s="3005"/>
      <c r="L184" s="1295">
        <f>J145/(10*G182)</f>
        <v>0.6541107291299288</v>
      </c>
      <c r="M184" s="1296" t="s">
        <v>291</v>
      </c>
      <c r="N184" s="657"/>
      <c r="O184" s="861"/>
      <c r="P184" s="862"/>
      <c r="Q184" s="863" t="s">
        <v>309</v>
      </c>
      <c r="R184" s="862"/>
      <c r="S184" s="862"/>
      <c r="T184" s="641"/>
      <c r="U184" s="968">
        <f t="shared" si="96"/>
        <v>17.399999999999977</v>
      </c>
      <c r="V184" s="970">
        <f t="shared" si="90"/>
        <v>493.28129999999936</v>
      </c>
      <c r="W184" s="734"/>
      <c r="X184" s="648"/>
      <c r="AJ184" s="842"/>
      <c r="AK184" s="842"/>
      <c r="AL184" s="848"/>
    </row>
    <row r="185" spans="1:38" ht="14.25">
      <c r="A185" s="641"/>
      <c r="B185" s="641"/>
      <c r="C185" s="2902" t="s">
        <v>875</v>
      </c>
      <c r="D185" s="2387"/>
      <c r="E185" s="844"/>
      <c r="F185" s="844"/>
      <c r="G185" s="858">
        <f>G184-(1.07993715174291*0.375*I145/G182)</f>
        <v>994.0055831056533</v>
      </c>
      <c r="H185" s="859"/>
      <c r="I185" s="651"/>
      <c r="J185" s="3005" t="s">
        <v>209</v>
      </c>
      <c r="K185" s="3005"/>
      <c r="L185" s="1297">
        <f>L184+0.15</f>
        <v>0.8041107291299289</v>
      </c>
      <c r="M185" s="1296" t="s">
        <v>291</v>
      </c>
      <c r="N185" s="657"/>
      <c r="O185" s="657"/>
      <c r="P185" s="862"/>
      <c r="Q185" s="865" t="s">
        <v>310</v>
      </c>
      <c r="R185" s="862"/>
      <c r="S185" s="657"/>
      <c r="T185" s="641"/>
      <c r="U185" s="968">
        <f t="shared" si="96"/>
        <v>17.49999999999998</v>
      </c>
      <c r="V185" s="970">
        <f t="shared" si="90"/>
        <v>496.11624999999935</v>
      </c>
      <c r="W185" s="734"/>
      <c r="X185" s="648"/>
      <c r="Y185" s="720"/>
      <c r="Z185" s="720"/>
      <c r="AA185" s="720"/>
      <c r="AB185" s="720"/>
      <c r="AC185" s="720"/>
      <c r="AD185" s="720"/>
      <c r="AE185" s="720"/>
      <c r="AJ185" s="842"/>
      <c r="AK185" s="842"/>
      <c r="AL185" s="848"/>
    </row>
    <row r="186" spans="1:23" ht="13.5">
      <c r="A186" s="641"/>
      <c r="B186" s="641"/>
      <c r="C186" s="2906" t="s">
        <v>876</v>
      </c>
      <c r="D186" s="2387"/>
      <c r="E186" s="844"/>
      <c r="F186" s="844"/>
      <c r="G186" s="1574">
        <f>(G184-G185)/(7.75-(3*(G184-1000)/800))</f>
        <v>10.842925187636789</v>
      </c>
      <c r="H186" s="859"/>
      <c r="I186" s="651"/>
      <c r="J186" s="3019" t="s">
        <v>210</v>
      </c>
      <c r="K186" s="3019"/>
      <c r="L186" s="1297">
        <f>K145/(10*G181)</f>
        <v>0.06541107291299288</v>
      </c>
      <c r="M186" s="1296" t="s">
        <v>291</v>
      </c>
      <c r="N186" s="657"/>
      <c r="O186" s="657"/>
      <c r="P186" s="862"/>
      <c r="Q186" s="862"/>
      <c r="R186" s="862"/>
      <c r="S186" s="657"/>
      <c r="T186" s="641"/>
      <c r="U186" s="968">
        <f t="shared" si="96"/>
        <v>17.59999999999998</v>
      </c>
      <c r="V186" s="970">
        <f t="shared" si="90"/>
        <v>498.9511999999994</v>
      </c>
      <c r="W186" s="734"/>
    </row>
    <row r="187" spans="1:23" ht="15" customHeight="1">
      <c r="A187" s="641"/>
      <c r="B187" s="641"/>
      <c r="C187" s="657"/>
      <c r="D187" s="859"/>
      <c r="E187" s="844"/>
      <c r="F187" s="844"/>
      <c r="G187" s="859"/>
      <c r="H187" s="859"/>
      <c r="I187" s="657"/>
      <c r="J187" s="868"/>
      <c r="K187" s="860"/>
      <c r="L187" s="862"/>
      <c r="M187" s="860"/>
      <c r="N187" s="860"/>
      <c r="O187" s="860"/>
      <c r="P187" s="860"/>
      <c r="Q187" s="860"/>
      <c r="R187" s="860"/>
      <c r="S187" s="860"/>
      <c r="T187" s="860"/>
      <c r="U187" s="1438">
        <v>21.1</v>
      </c>
      <c r="V187" s="970">
        <f>U187*28.3495</f>
        <v>598.17445</v>
      </c>
      <c r="W187" s="734"/>
    </row>
    <row r="188" spans="1:47" ht="13.5">
      <c r="A188" s="641"/>
      <c r="B188" s="768"/>
      <c r="C188" s="2904" t="s">
        <v>919</v>
      </c>
      <c r="D188" s="2904"/>
      <c r="E188" s="884"/>
      <c r="F188" s="884"/>
      <c r="G188" s="2932" t="s">
        <v>920</v>
      </c>
      <c r="H188" s="2932"/>
      <c r="I188" s="2932"/>
      <c r="J188" s="2932"/>
      <c r="K188" s="2932"/>
      <c r="L188" s="2932"/>
      <c r="M188" s="2932"/>
      <c r="N188" s="2932"/>
      <c r="O188" s="2933" t="s">
        <v>951</v>
      </c>
      <c r="P188" s="2933"/>
      <c r="Q188" s="860"/>
      <c r="R188" s="860"/>
      <c r="S188" s="860"/>
      <c r="T188" s="860"/>
      <c r="U188" s="968"/>
      <c r="V188" s="970"/>
      <c r="W188" s="734"/>
      <c r="X188" s="648"/>
      <c r="AJ188" s="484"/>
      <c r="AK188" s="484"/>
      <c r="AL188" s="484"/>
      <c r="AM188" s="885">
        <f>D189</f>
        <v>750</v>
      </c>
      <c r="AN188" s="885">
        <f>O189</f>
        <v>8</v>
      </c>
      <c r="AU188" s="883"/>
    </row>
    <row r="189" spans="1:47" ht="13.5">
      <c r="A189" s="641"/>
      <c r="B189" s="641"/>
      <c r="C189" s="886" t="s">
        <v>921</v>
      </c>
      <c r="D189" s="887">
        <v>750</v>
      </c>
      <c r="E189" s="2934" t="str">
        <f>"("&amp;FIXED(D189/29.5735,1)&amp;" fl oz)"</f>
        <v>(25.4 fl oz)</v>
      </c>
      <c r="F189" s="2934"/>
      <c r="G189" s="2396" t="str">
        <f>"= "&amp;FIXED($AK$189*D189,0)&amp;" calories from the alcohol"</f>
        <v>= 454 calories from the alcohol</v>
      </c>
      <c r="H189" s="2396"/>
      <c r="I189" s="2396"/>
      <c r="J189" s="2391"/>
      <c r="K189" s="2078" t="s">
        <v>348</v>
      </c>
      <c r="L189" s="2931" t="s">
        <v>1002</v>
      </c>
      <c r="M189" s="2931"/>
      <c r="N189" s="2931"/>
      <c r="O189" s="887">
        <v>8</v>
      </c>
      <c r="P189" s="651" t="str">
        <f>"("&amp;FIXED(O189*29.5735,0)&amp;" ml)"</f>
        <v>(237 ml)</v>
      </c>
      <c r="Q189" s="2930" t="str">
        <f>"= "&amp;FIXED($AK$189*O189*29.5735,0)&amp;" calories from the alcohol"</f>
        <v>= 143 calories from the alcohol</v>
      </c>
      <c r="R189" s="2930"/>
      <c r="S189" s="2930"/>
      <c r="T189" s="2930"/>
      <c r="U189" s="2930"/>
      <c r="V189" s="2930"/>
      <c r="W189" s="734"/>
      <c r="X189" s="648"/>
      <c r="AJ189" s="889">
        <f>G184</f>
        <v>1074.9891228752526</v>
      </c>
      <c r="AK189" s="890">
        <f>0.01*J$280*(D4-AJ190)/(7.75-(3*(AJ189-1000)/800))</f>
        <v>0.6051499436186181</v>
      </c>
      <c r="AL189" s="484" t="s">
        <v>103</v>
      </c>
      <c r="AM189" s="891">
        <f>AK189*D189</f>
        <v>453.8624577139636</v>
      </c>
      <c r="AN189" s="891">
        <f>AK189*O189</f>
        <v>4.8411995489489446</v>
      </c>
      <c r="AU189" s="883"/>
    </row>
    <row r="190" spans="1:47" ht="13.5">
      <c r="A190" s="641"/>
      <c r="B190" s="789"/>
      <c r="C190" s="3003"/>
      <c r="D190" s="3003"/>
      <c r="E190" s="892"/>
      <c r="F190" s="892"/>
      <c r="G190" s="2396" t="str">
        <f>"= "&amp;FIXED((D$189*$I$282*H173/(1000*$G$178)),0)&amp;" calories from the sweetening sugars"</f>
        <v>= 0 calories from the sweetening sugars</v>
      </c>
      <c r="H190" s="2396"/>
      <c r="I190" s="2396"/>
      <c r="J190" s="2391"/>
      <c r="K190" s="2391"/>
      <c r="L190" s="2391"/>
      <c r="M190" s="1031"/>
      <c r="N190" s="1031"/>
      <c r="O190" s="893"/>
      <c r="P190" s="651"/>
      <c r="Q190" s="2927" t="str">
        <f>"= "&amp;FIXED(I282*H173*$O$189*29.5735/(1000*$G$178),0)&amp;" calories from the sweetening sugars"</f>
        <v>= 0 calories from the sweetening sugars</v>
      </c>
      <c r="R190" s="2927"/>
      <c r="S190" s="2927"/>
      <c r="T190" s="2927"/>
      <c r="U190" s="2927"/>
      <c r="V190" s="2927"/>
      <c r="W190" s="734"/>
      <c r="X190" s="648"/>
      <c r="AJ190" s="889">
        <f>G185</f>
        <v>994.0055831056533</v>
      </c>
      <c r="AK190" s="890">
        <f>L$145/(G$181*1000)</f>
        <v>0.014951102380112661</v>
      </c>
      <c r="AL190" s="484" t="s">
        <v>103</v>
      </c>
      <c r="AM190" s="891">
        <f>AK190*D189</f>
        <v>11.213326785084496</v>
      </c>
      <c r="AN190" s="891">
        <f>AK190*O189</f>
        <v>0.11960881904090129</v>
      </c>
      <c r="AU190" s="883"/>
    </row>
    <row r="191" spans="1:47" ht="15" customHeight="1">
      <c r="A191" s="641"/>
      <c r="B191" s="839"/>
      <c r="C191" s="3002"/>
      <c r="D191" s="3002"/>
      <c r="E191" s="894"/>
      <c r="F191" s="894"/>
      <c r="G191" s="2396" t="str">
        <f>"= "&amp;FIXED(($AK$190*D$189*$I$282),1)&amp;" calories from the residual sugars"</f>
        <v>= 43.2 calories from the residual sugars</v>
      </c>
      <c r="H191" s="2396"/>
      <c r="I191" s="2396"/>
      <c r="J191" s="2391"/>
      <c r="K191" s="2391"/>
      <c r="L191" s="2391"/>
      <c r="M191" s="1031"/>
      <c r="N191" s="1746"/>
      <c r="O191" s="893"/>
      <c r="P191" s="651"/>
      <c r="Q191" s="2927" t="str">
        <f>"= "&amp;FIXED(($AK$190*O$189*29.5735*$I$282),1)&amp;" calories from the residual sugars"</f>
        <v>= 13.6 calories from the residual sugars</v>
      </c>
      <c r="R191" s="2927"/>
      <c r="S191" s="2927"/>
      <c r="T191" s="2927"/>
      <c r="U191" s="2927"/>
      <c r="V191" s="2927"/>
      <c r="W191" s="734"/>
      <c r="AJ191" s="889"/>
      <c r="AK191" s="890">
        <f>SUM(AK189:AK190)</f>
        <v>0.6201010459987307</v>
      </c>
      <c r="AL191" s="484" t="s">
        <v>103</v>
      </c>
      <c r="AM191" s="891">
        <f>SUM(AM189:AM190)</f>
        <v>465.0757844990481</v>
      </c>
      <c r="AN191" s="891">
        <f>SUM(AN189:AN190)</f>
        <v>4.960808367989846</v>
      </c>
      <c r="AU191" s="883"/>
    </row>
    <row r="192" spans="1:47" ht="13.5">
      <c r="A192" s="641"/>
      <c r="B192" s="839"/>
      <c r="C192" s="839"/>
      <c r="D192" s="839"/>
      <c r="E192" s="894"/>
      <c r="F192" s="894"/>
      <c r="G192" s="2902" t="str">
        <f>"= "&amp;FIXED(($AK$190*D$189)+(D$189*H173/(1000*$G$178)),1)&amp;"g carbohyradates"</f>
        <v>= 11.2g carbohyradates</v>
      </c>
      <c r="H192" s="2902"/>
      <c r="I192" s="2902"/>
      <c r="J192" s="2902"/>
      <c r="K192" s="2902"/>
      <c r="L192" s="2902"/>
      <c r="M192" s="839"/>
      <c r="N192" s="839"/>
      <c r="O192" s="894"/>
      <c r="P192" s="894"/>
      <c r="Q192" s="2902" t="str">
        <f>"= "&amp;FIXED(($AK$190*O$189*29.5735)+(O$189*29.5735*H173/(1000*$G$178)),1)&amp;"g carbohyradates"</f>
        <v>= 3.5g carbohyradates</v>
      </c>
      <c r="R192" s="2902"/>
      <c r="S192" s="2902"/>
      <c r="T192" s="2902"/>
      <c r="U192" s="2902"/>
      <c r="V192" s="2902"/>
      <c r="W192" s="734"/>
      <c r="AJ192" s="484"/>
      <c r="AK192" s="484"/>
      <c r="AL192" s="484"/>
      <c r="AM192" s="508">
        <f>AM190*I282</f>
        <v>43.17130812257531</v>
      </c>
      <c r="AN192" s="508">
        <f>AN190*I282</f>
        <v>0.46049395330746995</v>
      </c>
      <c r="AU192" s="883"/>
    </row>
    <row r="193" spans="1:42" ht="15" customHeight="1">
      <c r="A193" s="641"/>
      <c r="B193" s="895"/>
      <c r="C193" s="839"/>
      <c r="D193" s="2921" t="s">
        <v>922</v>
      </c>
      <c r="E193" s="2921"/>
      <c r="F193" s="2921"/>
      <c r="G193" s="2930" t="str">
        <f>"= "&amp;FIXED((($AK$189*D$189)+($AK$190*D$189*$I$282)),0)&amp;" calories"</f>
        <v>= 497 calories</v>
      </c>
      <c r="H193" s="2930"/>
      <c r="I193" s="2930"/>
      <c r="J193" s="2930"/>
      <c r="K193" s="2930"/>
      <c r="L193" s="2930"/>
      <c r="M193" s="839"/>
      <c r="N193" s="896"/>
      <c r="O193" s="2921" t="s">
        <v>922</v>
      </c>
      <c r="P193" s="2921"/>
      <c r="Q193" s="2930" t="str">
        <f>"= "&amp;FIXED((($AK$189*29.5735*O$189)+($AK$190*O$189*29.5735*$I$282)),0)&amp;" calories"</f>
        <v>= 157 calories</v>
      </c>
      <c r="R193" s="2930"/>
      <c r="S193" s="2930"/>
      <c r="T193" s="2930"/>
      <c r="U193" s="2930"/>
      <c r="V193" s="2930"/>
      <c r="W193" s="734"/>
      <c r="X193" s="648"/>
      <c r="AJ193" s="484"/>
      <c r="AK193" s="806"/>
      <c r="AL193" s="806"/>
      <c r="AM193" s="897">
        <f>(D4-D5)/(7.75-(3*(D4-1000)/800))</f>
        <v>10.842925187636789</v>
      </c>
      <c r="AN193" s="897" t="s">
        <v>935</v>
      </c>
      <c r="AO193" s="649" t="s">
        <v>429</v>
      </c>
      <c r="AP193" s="649" t="s">
        <v>429</v>
      </c>
    </row>
    <row r="194" spans="1:47" ht="15" customHeight="1">
      <c r="A194" s="641"/>
      <c r="B194" s="641"/>
      <c r="C194" s="839"/>
      <c r="D194" s="2921" t="s">
        <v>936</v>
      </c>
      <c r="E194" s="2921"/>
      <c r="F194" s="2921"/>
      <c r="G194" s="2996" t="str">
        <f>"= "&amp;FIXED($D$189*G186*G183/G178/1000,2)&amp;" units of alcohol (UK)."</f>
        <v>= 8.13 units of alcohol (UK).</v>
      </c>
      <c r="H194" s="2996"/>
      <c r="I194" s="2996"/>
      <c r="J194" s="2996"/>
      <c r="K194" s="2996"/>
      <c r="L194" s="2996"/>
      <c r="M194" s="839"/>
      <c r="N194" s="896"/>
      <c r="O194" s="2921" t="s">
        <v>936</v>
      </c>
      <c r="P194" s="2921"/>
      <c r="Q194" s="2995" t="str">
        <f>"= "&amp;FIXED($O$189*29.5735*G186*G183/G178/1000,2)&amp;" units of alcohol (UK)."</f>
        <v>= 2.57 units of alcohol (UK).</v>
      </c>
      <c r="R194" s="2995"/>
      <c r="S194" s="2995"/>
      <c r="T194" s="2995"/>
      <c r="U194" s="2995"/>
      <c r="V194" s="2995"/>
      <c r="W194" s="734"/>
      <c r="X194" s="648"/>
      <c r="AJ194" s="649" t="s">
        <v>429</v>
      </c>
      <c r="AK194" s="649" t="s">
        <v>429</v>
      </c>
      <c r="AL194" s="649" t="s">
        <v>429</v>
      </c>
      <c r="AM194" s="649" t="s">
        <v>429</v>
      </c>
      <c r="AN194" s="649" t="s">
        <v>429</v>
      </c>
      <c r="AO194" s="649" t="s">
        <v>429</v>
      </c>
      <c r="AP194" s="649" t="s">
        <v>429</v>
      </c>
      <c r="AR194"/>
      <c r="AS194" s="898"/>
      <c r="AT194" s="898"/>
      <c r="AU194" s="898"/>
    </row>
    <row r="195" spans="1:47" ht="13.5">
      <c r="A195" s="641"/>
      <c r="B195" s="899"/>
      <c r="C195" s="797"/>
      <c r="D195" s="797"/>
      <c r="E195" s="797"/>
      <c r="F195" s="797"/>
      <c r="G195" s="900"/>
      <c r="H195" s="657"/>
      <c r="I195" s="879"/>
      <c r="J195" s="880"/>
      <c r="K195" s="231"/>
      <c r="L195" s="864"/>
      <c r="M195" s="901"/>
      <c r="N195" s="542"/>
      <c r="O195" s="902"/>
      <c r="P195" s="903"/>
      <c r="Q195" s="882"/>
      <c r="R195" s="882"/>
      <c r="S195" s="882"/>
      <c r="T195" s="904"/>
      <c r="U195" s="888"/>
      <c r="V195" s="888"/>
      <c r="W195" s="734"/>
      <c r="X195" s="648"/>
      <c r="AJ195" s="905"/>
      <c r="AK195" s="842"/>
      <c r="AL195" s="848"/>
      <c r="AR195"/>
      <c r="AU195" s="898"/>
    </row>
    <row r="196" spans="1:47" ht="13.5">
      <c r="A196" s="641"/>
      <c r="B196" s="3001" t="s">
        <v>937</v>
      </c>
      <c r="C196" s="3001"/>
      <c r="D196" s="3001"/>
      <c r="E196" s="1447"/>
      <c r="F196" s="1447"/>
      <c r="G196" s="1447"/>
      <c r="H196" s="1447"/>
      <c r="I196" s="1447"/>
      <c r="J196" s="867"/>
      <c r="K196" s="231"/>
      <c r="L196" s="1031"/>
      <c r="M196" s="1031"/>
      <c r="N196" s="1031"/>
      <c r="O196" s="641"/>
      <c r="P196" s="542"/>
      <c r="Q196" s="542"/>
      <c r="R196" s="542"/>
      <c r="S196" s="542"/>
      <c r="T196" s="542"/>
      <c r="U196" s="657"/>
      <c r="V196" s="657"/>
      <c r="W196" s="414"/>
      <c r="X196" s="648"/>
      <c r="AJ196"/>
      <c r="AK196"/>
      <c r="AL196" s="848"/>
      <c r="AO196" s="906" t="s">
        <v>384</v>
      </c>
      <c r="AP196" s="907">
        <f>89.6/342</f>
        <v>0.2619883040935672</v>
      </c>
      <c r="AR196"/>
      <c r="AS196"/>
      <c r="AT196"/>
      <c r="AU196"/>
    </row>
    <row r="197" spans="1:47" ht="15" customHeight="1">
      <c r="A197" s="641"/>
      <c r="B197" s="641"/>
      <c r="C197" s="3000" t="s">
        <v>938</v>
      </c>
      <c r="D197" s="3000"/>
      <c r="E197" s="3000"/>
      <c r="F197" s="3000"/>
      <c r="G197" s="3000"/>
      <c r="H197" s="3000"/>
      <c r="I197" s="3000"/>
      <c r="J197" s="3000"/>
      <c r="K197" s="3000"/>
      <c r="L197" s="2926" t="s">
        <v>952</v>
      </c>
      <c r="M197" s="2926"/>
      <c r="N197" s="2926"/>
      <c r="O197" s="641"/>
      <c r="P197" s="908"/>
      <c r="Q197" s="908"/>
      <c r="R197" s="231"/>
      <c r="S197" s="231"/>
      <c r="T197" s="231"/>
      <c r="U197" s="231"/>
      <c r="V197" s="231"/>
      <c r="W197" s="370"/>
      <c r="X197" s="648"/>
      <c r="AJ197"/>
      <c r="AK197"/>
      <c r="AL197" s="848"/>
      <c r="AO197" s="909" t="s">
        <v>358</v>
      </c>
      <c r="AP197" s="910" t="s">
        <v>911</v>
      </c>
      <c r="AR197"/>
      <c r="AS197"/>
      <c r="AT197"/>
      <c r="AU197"/>
    </row>
    <row r="198" spans="1:47" ht="15" customHeight="1">
      <c r="A198" s="641"/>
      <c r="B198" s="641"/>
      <c r="C198" s="840"/>
      <c r="D198" s="911"/>
      <c r="E198" s="911"/>
      <c r="F198" s="911"/>
      <c r="G198" s="912"/>
      <c r="H198" s="851"/>
      <c r="I198" s="658"/>
      <c r="J198" s="913"/>
      <c r="K198" s="911"/>
      <c r="L198" s="2928" t="str">
        <f>"    (Presently set to "&amp;FIXED(E171,0)&amp;")"</f>
        <v>    (Presently set to 0)</v>
      </c>
      <c r="M198" s="2928"/>
      <c r="N198" s="2928"/>
      <c r="O198" s="908"/>
      <c r="P198" s="908"/>
      <c r="Q198" s="914"/>
      <c r="R198" s="2951" t="s">
        <v>939</v>
      </c>
      <c r="S198" s="2951"/>
      <c r="T198" s="1441">
        <v>0.111</v>
      </c>
      <c r="U198" s="1436" t="str">
        <f>"oz ="&amp;FIXED(T198*28.3495,2)&amp;" g"</f>
        <v>oz =3.15 g</v>
      </c>
      <c r="V198" s="962"/>
      <c r="W198" s="915"/>
      <c r="AJ198"/>
      <c r="AK198"/>
      <c r="AL198" s="848"/>
      <c r="AO198" s="916" t="s">
        <v>359</v>
      </c>
      <c r="AP198" s="917" t="s">
        <v>360</v>
      </c>
      <c r="AR198"/>
      <c r="AS198"/>
      <c r="AT198"/>
      <c r="AU198"/>
    </row>
    <row r="199" spans="1:47" ht="13.5">
      <c r="A199" s="641"/>
      <c r="B199" s="798"/>
      <c r="C199" s="2929" t="s">
        <v>940</v>
      </c>
      <c r="D199" s="2929"/>
      <c r="E199" s="799"/>
      <c r="F199" s="1439"/>
      <c r="G199" s="2918" t="str">
        <f>"oz ("&amp;FIXED(F199*28.3495)&amp;" g)/litre, this is equivalent to "&amp;FIXED(F199*28.3495/T198)&amp;" level 5ml tsp for a 1000ml bottle or "&amp;FIXED(F199*28.3495*D7,0)&amp;"g in total."</f>
        <v>oz (0.00 g)/litre, this is equivalent to 0.00 level 5ml tsp for a 1000ml bottle or 0g in total.</v>
      </c>
      <c r="H199" s="2918"/>
      <c r="I199" s="2918"/>
      <c r="J199" s="2918"/>
      <c r="K199" s="2918"/>
      <c r="L199" s="2918"/>
      <c r="M199" s="2918"/>
      <c r="N199" s="2918"/>
      <c r="O199" s="2918"/>
      <c r="P199" s="2918"/>
      <c r="Q199" s="651"/>
      <c r="R199" s="2949" t="s">
        <v>941</v>
      </c>
      <c r="S199" s="2950"/>
      <c r="T199" s="2950"/>
      <c r="U199" s="962"/>
      <c r="V199" s="962"/>
      <c r="W199" s="370"/>
      <c r="AJ199"/>
      <c r="AK199"/>
      <c r="AL199" s="848"/>
      <c r="AO199" s="919">
        <v>0</v>
      </c>
      <c r="AP199" s="920">
        <v>1.713</v>
      </c>
      <c r="AR199" s="648"/>
      <c r="AS199" s="648"/>
      <c r="AT199" s="648"/>
      <c r="AU199" s="648"/>
    </row>
    <row r="200" spans="1:47" ht="13.5">
      <c r="A200" s="641"/>
      <c r="B200" s="798"/>
      <c r="C200" s="2907" t="s">
        <v>954</v>
      </c>
      <c r="D200" s="2907"/>
      <c r="E200" s="921"/>
      <c r="F200" s="921"/>
      <c r="G200" s="1439">
        <v>1000</v>
      </c>
      <c r="H200" s="2396" t="str">
        <f>"ml, use "&amp;FIXED((F199)*(G200/1000),2)&amp;" oz ("&amp;FIXED(F199*28.3495*(G200/1000),2)&amp;")g, this is equivalent to "&amp;FIXED(((G200/1000)*F199/T198),2)&amp;" level 5ml tsp per bottle."</f>
        <v>ml, use 0.00 oz (0.00)g, this is equivalent to 0.00 level 5ml tsp per bottle.</v>
      </c>
      <c r="I200" s="2396"/>
      <c r="J200" s="2396"/>
      <c r="K200" s="2396"/>
      <c r="L200" s="2396"/>
      <c r="M200" s="2391"/>
      <c r="N200" s="2391"/>
      <c r="O200" s="2391"/>
      <c r="P200" s="2391"/>
      <c r="Q200" s="1746"/>
      <c r="R200" s="1745" t="s">
        <v>1001</v>
      </c>
      <c r="S200" s="1745" t="s">
        <v>955</v>
      </c>
      <c r="T200" s="922" t="s">
        <v>106</v>
      </c>
      <c r="U200" s="962"/>
      <c r="V200" s="962"/>
      <c r="W200" s="370"/>
      <c r="AJ200"/>
      <c r="AK200"/>
      <c r="AL200" s="848"/>
      <c r="AO200" s="923">
        <f aca="true" t="shared" si="97" ref="AO200:AO229">AO199+1</f>
        <v>1</v>
      </c>
      <c r="AP200" s="924">
        <v>1.646</v>
      </c>
      <c r="AR200" s="795"/>
      <c r="AS200" s="795"/>
      <c r="AT200" s="648"/>
      <c r="AU200" s="648"/>
    </row>
    <row r="201" spans="1:47" ht="14.25">
      <c r="A201" s="641"/>
      <c r="B201" s="925"/>
      <c r="C201" s="2910" t="s">
        <v>396</v>
      </c>
      <c r="D201" s="2911"/>
      <c r="E201" s="921"/>
      <c r="F201" s="921"/>
      <c r="G201" s="1440">
        <v>20</v>
      </c>
      <c r="H201" s="892" t="s">
        <v>257</v>
      </c>
      <c r="I201" s="2396" t="s">
        <v>957</v>
      </c>
      <c r="J201" s="2396"/>
      <c r="K201" s="2396"/>
      <c r="L201" s="2396"/>
      <c r="M201" s="2391"/>
      <c r="N201" s="2391"/>
      <c r="O201" s="2391"/>
      <c r="P201" s="2391"/>
      <c r="Q201" s="1746"/>
      <c r="R201" s="1745">
        <f>S201*T198</f>
        <v>0.111</v>
      </c>
      <c r="S201" s="1757">
        <v>1</v>
      </c>
      <c r="T201" s="974">
        <f>S201/T198</f>
        <v>9.00900900900901</v>
      </c>
      <c r="U201" s="962"/>
      <c r="V201" s="962"/>
      <c r="W201" s="370"/>
      <c r="AJ201"/>
      <c r="AK201"/>
      <c r="AL201" s="848"/>
      <c r="AO201" s="919">
        <f t="shared" si="97"/>
        <v>2</v>
      </c>
      <c r="AP201" s="920">
        <v>1.584</v>
      </c>
      <c r="AS201" s="795"/>
      <c r="AT201" s="648"/>
      <c r="AU201" s="648"/>
    </row>
    <row r="202" spans="1:47" ht="13.5">
      <c r="A202" s="641"/>
      <c r="B202" s="925"/>
      <c r="C202" s="3017" t="s">
        <v>998</v>
      </c>
      <c r="D202" s="3017"/>
      <c r="E202" s="921"/>
      <c r="F202" s="921"/>
      <c r="G202" s="927">
        <f>F199*28.3495*AP196+VLOOKUP(G201,AO199:AP229,2)</f>
        <v>0.878</v>
      </c>
      <c r="H202" s="892"/>
      <c r="I202" s="2917" t="s">
        <v>958</v>
      </c>
      <c r="J202" s="2917"/>
      <c r="K202" s="2917"/>
      <c r="L202" s="2917"/>
      <c r="M202" s="2917"/>
      <c r="N202" s="2917"/>
      <c r="O202" s="2917"/>
      <c r="P202" s="2917"/>
      <c r="Q202" s="2917"/>
      <c r="R202" s="2917"/>
      <c r="S202" s="2917"/>
      <c r="T202" s="2917"/>
      <c r="U202" s="962"/>
      <c r="V202" s="962"/>
      <c r="W202" s="734"/>
      <c r="AJ202"/>
      <c r="AK202"/>
      <c r="AL202" s="848"/>
      <c r="AO202" s="919">
        <f t="shared" si="97"/>
        <v>3</v>
      </c>
      <c r="AP202" s="920">
        <v>1.55</v>
      </c>
      <c r="AS202" s="795"/>
      <c r="AT202" s="648"/>
      <c r="AU202" s="648"/>
    </row>
    <row r="203" spans="1:47" ht="13.5">
      <c r="A203" s="641"/>
      <c r="B203" s="798"/>
      <c r="C203" s="2906" t="s">
        <v>959</v>
      </c>
      <c r="D203" s="2906"/>
      <c r="E203" s="921"/>
      <c r="F203" s="921"/>
      <c r="G203" s="858">
        <f>D$4+0.375*F199*28.3495</f>
        <v>1074.9891228752526</v>
      </c>
      <c r="H203" s="658"/>
      <c r="J203" s="231"/>
      <c r="K203" s="231"/>
      <c r="L203" s="231"/>
      <c r="M203" s="231"/>
      <c r="N203" s="231"/>
      <c r="O203" s="231"/>
      <c r="P203" s="231"/>
      <c r="Q203" s="231"/>
      <c r="R203" s="231"/>
      <c r="S203" s="231"/>
      <c r="T203" s="231"/>
      <c r="U203" s="962"/>
      <c r="V203" s="962"/>
      <c r="W203" s="370"/>
      <c r="AJ203"/>
      <c r="AK203"/>
      <c r="AL203" s="848"/>
      <c r="AO203" s="919">
        <f t="shared" si="97"/>
        <v>4</v>
      </c>
      <c r="AP203" s="920">
        <v>1.473</v>
      </c>
      <c r="AS203" s="795"/>
      <c r="AT203" s="648"/>
      <c r="AU203" s="648"/>
    </row>
    <row r="204" spans="1:47" ht="13.5">
      <c r="A204" s="641"/>
      <c r="B204" s="798"/>
      <c r="C204" s="2906" t="s">
        <v>960</v>
      </c>
      <c r="D204" s="2906"/>
      <c r="E204" s="921"/>
      <c r="F204" s="921"/>
      <c r="G204" s="858">
        <f>G185-(1.07993715174291*0.375*F199*28.3495/D7)</f>
        <v>994.0055831056533</v>
      </c>
      <c r="H204" s="798"/>
      <c r="I204" s="798"/>
      <c r="J204" s="914"/>
      <c r="K204" s="914"/>
      <c r="L204" s="914"/>
      <c r="M204" s="914"/>
      <c r="N204" s="914"/>
      <c r="O204" s="914"/>
      <c r="P204" s="914"/>
      <c r="Q204" s="914"/>
      <c r="R204" s="914"/>
      <c r="S204" s="797"/>
      <c r="T204" s="902"/>
      <c r="U204" s="962"/>
      <c r="V204" s="962"/>
      <c r="W204" s="734"/>
      <c r="AJ204"/>
      <c r="AK204"/>
      <c r="AL204" s="848"/>
      <c r="AO204" s="928">
        <f t="shared" si="97"/>
        <v>5</v>
      </c>
      <c r="AP204" s="920">
        <v>1.424</v>
      </c>
      <c r="AS204" s="648"/>
      <c r="AT204" s="648"/>
      <c r="AU204" s="648"/>
    </row>
    <row r="205" spans="1:47" ht="13.5">
      <c r="A205" s="641"/>
      <c r="B205" s="798"/>
      <c r="C205" s="2903" t="s">
        <v>961</v>
      </c>
      <c r="D205" s="2903"/>
      <c r="E205" s="921"/>
      <c r="F205" s="921"/>
      <c r="G205" s="929">
        <f>(G203-G204)/(7.75-(3*(G203-1000)/800))</f>
        <v>10.842925187636789</v>
      </c>
      <c r="H205" s="798"/>
      <c r="I205" s="798" t="s">
        <v>311</v>
      </c>
      <c r="J205" s="231"/>
      <c r="K205" s="231"/>
      <c r="L205" s="231"/>
      <c r="M205" s="231"/>
      <c r="N205" s="231"/>
      <c r="O205" s="231"/>
      <c r="P205" s="231"/>
      <c r="Q205" s="231"/>
      <c r="R205" s="231"/>
      <c r="S205" s="231"/>
      <c r="T205" s="231"/>
      <c r="U205" s="962"/>
      <c r="V205" s="962"/>
      <c r="W205" s="370"/>
      <c r="AJ205"/>
      <c r="AK205"/>
      <c r="AL205" s="848"/>
      <c r="AO205" s="928">
        <f t="shared" si="97"/>
        <v>6</v>
      </c>
      <c r="AP205" s="920">
        <v>1.377</v>
      </c>
      <c r="AS205" s="648"/>
      <c r="AT205" s="648"/>
      <c r="AU205" s="648"/>
    </row>
    <row r="206" spans="1:47" ht="13.5">
      <c r="A206" s="641"/>
      <c r="B206" s="798"/>
      <c r="C206" s="797"/>
      <c r="D206" s="797"/>
      <c r="E206" s="921"/>
      <c r="F206" s="921"/>
      <c r="G206" s="893"/>
      <c r="H206" s="876"/>
      <c r="I206" s="930"/>
      <c r="J206" s="797"/>
      <c r="K206" s="931"/>
      <c r="L206" s="888"/>
      <c r="M206" s="797"/>
      <c r="N206" s="797"/>
      <c r="O206" s="797"/>
      <c r="P206" s="797"/>
      <c r="Q206" s="797"/>
      <c r="R206" s="797"/>
      <c r="S206" s="797"/>
      <c r="T206" s="797"/>
      <c r="U206" s="797"/>
      <c r="V206" s="962"/>
      <c r="W206" s="932"/>
      <c r="AJ206"/>
      <c r="AK206"/>
      <c r="AL206" s="848"/>
      <c r="AO206" s="928">
        <f t="shared" si="97"/>
        <v>7</v>
      </c>
      <c r="AP206" s="920">
        <v>1.331</v>
      </c>
      <c r="AU206" s="648"/>
    </row>
    <row r="207" spans="1:47" ht="13.5">
      <c r="A207" s="641"/>
      <c r="B207" s="665"/>
      <c r="C207" s="2904" t="s">
        <v>919</v>
      </c>
      <c r="D207" s="2905"/>
      <c r="E207" s="921"/>
      <c r="F207" s="921"/>
      <c r="G207" s="2932" t="s">
        <v>920</v>
      </c>
      <c r="H207" s="2932"/>
      <c r="I207" s="2932"/>
      <c r="J207" s="2932"/>
      <c r="K207" s="2932"/>
      <c r="L207" s="2932"/>
      <c r="M207" s="2932"/>
      <c r="N207" s="2932"/>
      <c r="O207" s="2933" t="s">
        <v>951</v>
      </c>
      <c r="P207" s="2933"/>
      <c r="Q207" s="1031"/>
      <c r="R207" s="1031"/>
      <c r="S207" s="1031"/>
      <c r="T207" s="797"/>
      <c r="U207" s="797"/>
      <c r="V207" s="962"/>
      <c r="W207" s="932"/>
      <c r="AJ207"/>
      <c r="AK207"/>
      <c r="AL207" s="848"/>
      <c r="AO207" s="928">
        <f t="shared" si="97"/>
        <v>8</v>
      </c>
      <c r="AP207" s="920">
        <v>1.282</v>
      </c>
      <c r="AU207" s="648"/>
    </row>
    <row r="208" spans="1:47" ht="13.5">
      <c r="A208" s="641"/>
      <c r="B208" s="641"/>
      <c r="C208" s="886" t="s">
        <v>921</v>
      </c>
      <c r="D208" s="887">
        <v>750</v>
      </c>
      <c r="E208" s="3018" t="str">
        <f>"("&amp;FIXED(D208/29.5735,1)&amp;" fl oz)"</f>
        <v>(25.4 fl oz)</v>
      </c>
      <c r="F208" s="3018"/>
      <c r="G208" s="2927" t="str">
        <f>"= "&amp;FIXED($AK$208*D208,0)&amp;" calories from the alcohol"</f>
        <v>= 454 calories from the alcohol</v>
      </c>
      <c r="H208" s="2927"/>
      <c r="I208" s="2927"/>
      <c r="J208" s="2927"/>
      <c r="K208" s="933" t="s">
        <v>962</v>
      </c>
      <c r="L208" s="2936" t="s">
        <v>1002</v>
      </c>
      <c r="M208" s="2937"/>
      <c r="N208" s="2937"/>
      <c r="O208" s="887">
        <v>8</v>
      </c>
      <c r="P208" s="1294" t="str">
        <f>"("&amp;FIXED(O208*29.5735,0)&amp;" ml)"</f>
        <v>(237 ml)</v>
      </c>
      <c r="Q208" s="2927" t="str">
        <f>"= "&amp;FIXED($AK$208*O208*29.5735,0)&amp;" calories from the alcohol"</f>
        <v>= 143 calories from the alcohol</v>
      </c>
      <c r="R208" s="2927"/>
      <c r="S208" s="2927"/>
      <c r="T208" s="2927"/>
      <c r="U208" s="2927"/>
      <c r="V208" s="2927"/>
      <c r="W208" s="932"/>
      <c r="AJ208" s="889">
        <f>G203</f>
        <v>1074.9891228752526</v>
      </c>
      <c r="AK208" s="890">
        <f>0.01*J$280*(G203-AJ209)/(7.75-(3*(AJ208-1000)/800))</f>
        <v>0.6051499436186181</v>
      </c>
      <c r="AL208" s="484" t="s">
        <v>103</v>
      </c>
      <c r="AM208" s="891">
        <f>AK208*D208</f>
        <v>453.8624577139636</v>
      </c>
      <c r="AN208" s="891">
        <f>AK208*O208</f>
        <v>4.8411995489489446</v>
      </c>
      <c r="AO208" s="928">
        <f t="shared" si="97"/>
        <v>9</v>
      </c>
      <c r="AP208" s="920">
        <v>1.237</v>
      </c>
      <c r="AU208" s="883"/>
    </row>
    <row r="209" spans="1:47" ht="13.5">
      <c r="A209" s="641"/>
      <c r="B209" s="641"/>
      <c r="C209" s="2921"/>
      <c r="D209" s="2921"/>
      <c r="E209" s="896"/>
      <c r="F209" s="896"/>
      <c r="G209" s="2935" t="str">
        <f>"= "&amp;FIXED($I$282*H173*D$208/(1000*$G$178),0)&amp;" calories from the sweetening sugars"</f>
        <v>= 0 calories from the sweetening sugars</v>
      </c>
      <c r="H209" s="2935"/>
      <c r="I209" s="2935"/>
      <c r="J209" s="2935"/>
      <c r="K209" s="2935"/>
      <c r="L209" s="2938" t="s">
        <v>963</v>
      </c>
      <c r="M209" s="2938"/>
      <c r="N209" s="2938"/>
      <c r="O209" s="2938"/>
      <c r="P209" s="651"/>
      <c r="Q209" s="2927" t="str">
        <f>"= "&amp;FIXED($I$282*H173*O$208*29.5735/(1000*$G$178),0)&amp;" calories from the sweetening sugars"</f>
        <v>= 0 calories from the sweetening sugars</v>
      </c>
      <c r="R209" s="2927"/>
      <c r="S209" s="2927"/>
      <c r="T209" s="2927"/>
      <c r="U209" s="2927"/>
      <c r="V209" s="2927"/>
      <c r="W209" s="932"/>
      <c r="AJ209" s="889">
        <f>G204</f>
        <v>994.0055831056533</v>
      </c>
      <c r="AK209" s="890">
        <f>L$145/(G$181*1000)</f>
        <v>0.014951102380112661</v>
      </c>
      <c r="AL209" s="484" t="s">
        <v>103</v>
      </c>
      <c r="AM209" s="891">
        <f>AK209*D208</f>
        <v>11.213326785084496</v>
      </c>
      <c r="AN209" s="891">
        <f>AK209*O208</f>
        <v>0.11960881904090129</v>
      </c>
      <c r="AO209" s="928">
        <f t="shared" si="97"/>
        <v>10</v>
      </c>
      <c r="AP209" s="920">
        <v>1.194</v>
      </c>
      <c r="AU209" s="883"/>
    </row>
    <row r="210" spans="1:47" ht="13.5">
      <c r="A210" s="641"/>
      <c r="B210" s="641"/>
      <c r="C210" s="2921"/>
      <c r="D210" s="2921"/>
      <c r="E210" s="896"/>
      <c r="F210" s="896"/>
      <c r="G210" s="2927" t="str">
        <f>"= "&amp;FIXED(($AK$209*D$208*$I$282),1)&amp;" calories from the residual sugars"</f>
        <v>= 43.2 calories from the residual sugars</v>
      </c>
      <c r="H210" s="2927"/>
      <c r="I210" s="2927"/>
      <c r="J210" s="2927"/>
      <c r="K210" s="2927"/>
      <c r="L210" s="2926" t="s">
        <v>953</v>
      </c>
      <c r="M210" s="2926"/>
      <c r="N210" s="2926"/>
      <c r="O210" s="2926"/>
      <c r="P210" s="651"/>
      <c r="Q210" s="2927" t="str">
        <f>"= "&amp;FIXED(($AK$209*O$208*29.5735*$I$282),1)&amp;" calories from the residual sugars"</f>
        <v>= 13.6 calories from the residual sugars</v>
      </c>
      <c r="R210" s="2927"/>
      <c r="S210" s="2927"/>
      <c r="T210" s="2927"/>
      <c r="U210" s="2927"/>
      <c r="V210" s="2927"/>
      <c r="W210" s="932"/>
      <c r="AJ210" s="484"/>
      <c r="AK210" s="519">
        <f>SUM(AK208:AK209)</f>
        <v>0.6201010459987307</v>
      </c>
      <c r="AL210" s="484" t="s">
        <v>103</v>
      </c>
      <c r="AM210" s="891">
        <f>SUM(AM208:AM209)</f>
        <v>465.0757844990481</v>
      </c>
      <c r="AN210" s="891">
        <f>SUM(AN208:AN209)</f>
        <v>4.960808367989846</v>
      </c>
      <c r="AO210" s="928">
        <f t="shared" si="97"/>
        <v>11</v>
      </c>
      <c r="AP210" s="920">
        <v>1.154</v>
      </c>
      <c r="AU210" s="883"/>
    </row>
    <row r="211" spans="1:47" ht="13.5">
      <c r="A211" s="641"/>
      <c r="B211" s="641"/>
      <c r="C211" s="2921"/>
      <c r="D211" s="2921"/>
      <c r="E211" s="896"/>
      <c r="F211" s="896"/>
      <c r="G211" s="2902" t="str">
        <f>"= "&amp;FIXED(($AK$209*D$208)+(D$208*H173/(1000*$G$178)),1)&amp;"g carbohyradates"</f>
        <v>= 11.2g carbohyradates</v>
      </c>
      <c r="H211" s="2902"/>
      <c r="I211" s="2902"/>
      <c r="J211" s="2902"/>
      <c r="K211" s="793"/>
      <c r="L211" s="2908" t="str">
        <f>"                 (Presently set to "&amp;FIXED(E171,0)&amp;")"</f>
        <v>                 (Presently set to 0)</v>
      </c>
      <c r="M211" s="2909"/>
      <c r="N211" s="2909"/>
      <c r="O211" s="2909"/>
      <c r="P211" s="651"/>
      <c r="Q211" s="2902" t="str">
        <f>"= "&amp;FIXED(($AK$209*O$208*29.5735)+(O$208*29.5735*H173/(1000*$G$178)),1)&amp;"g carbohyradates"</f>
        <v>= 3.5g carbohyradates</v>
      </c>
      <c r="R211" s="2902"/>
      <c r="S211" s="2902"/>
      <c r="T211" s="2902"/>
      <c r="U211" s="2902"/>
      <c r="V211" s="2902"/>
      <c r="W211" s="932"/>
      <c r="AJ211" s="484"/>
      <c r="AK211" s="519"/>
      <c r="AL211" s="484"/>
      <c r="AM211" s="508">
        <f>AM209*I282</f>
        <v>43.17130812257531</v>
      </c>
      <c r="AN211" s="508">
        <f>AN209*I282</f>
        <v>0.46049395330746995</v>
      </c>
      <c r="AO211" s="928">
        <f t="shared" si="97"/>
        <v>12</v>
      </c>
      <c r="AP211" s="920">
        <v>1.117</v>
      </c>
      <c r="AU211" s="883"/>
    </row>
    <row r="212" spans="1:47" ht="13.5">
      <c r="A212" s="641"/>
      <c r="B212" s="641"/>
      <c r="C212" s="839"/>
      <c r="D212" s="2921" t="s">
        <v>922</v>
      </c>
      <c r="E212" s="2921"/>
      <c r="F212" s="2921"/>
      <c r="G212" s="2930" t="str">
        <f>"= "&amp;FIXED((($AK$208*D$208)+($AK$209*D$208*$I$282)),0)&amp;" calories"</f>
        <v>= 497 calories</v>
      </c>
      <c r="H212" s="2930"/>
      <c r="I212" s="2930"/>
      <c r="J212" s="2930"/>
      <c r="K212" s="2173"/>
      <c r="L212" s="839"/>
      <c r="M212" s="896"/>
      <c r="N212" s="2921" t="s">
        <v>922</v>
      </c>
      <c r="O212" s="2921"/>
      <c r="P212" s="2921"/>
      <c r="Q212" s="2930" t="str">
        <f>"= "&amp;FIXED((($AK$208*O$208*29.5735)+($AK$209*O$208*29.5735*$I$282)),0)&amp;" calories"</f>
        <v>= 157 calories</v>
      </c>
      <c r="R212" s="2930"/>
      <c r="S212" s="2930"/>
      <c r="T212" s="2930"/>
      <c r="U212" s="2930"/>
      <c r="V212" s="2930"/>
      <c r="W212" s="932"/>
      <c r="AJ212" s="484"/>
      <c r="AK212" s="519"/>
      <c r="AL212" s="484"/>
      <c r="AM212" s="508">
        <f>(G203-G204)/(7.75-(3*(G203-1000)/800))</f>
        <v>10.842925187636789</v>
      </c>
      <c r="AN212" s="891"/>
      <c r="AO212" s="928">
        <f t="shared" si="97"/>
        <v>13</v>
      </c>
      <c r="AP212" s="920">
        <v>1.083</v>
      </c>
      <c r="AU212" s="883"/>
    </row>
    <row r="213" spans="1:47" ht="13.5">
      <c r="A213" s="641"/>
      <c r="B213" s="641"/>
      <c r="C213" s="839"/>
      <c r="D213" s="2921" t="s">
        <v>936</v>
      </c>
      <c r="E213" s="2921"/>
      <c r="F213" s="2921"/>
      <c r="G213" s="2935" t="str">
        <f>"= "&amp;FIXED($D$208*$G$205/1000,2)&amp;" units of alcohol (UK)."</f>
        <v>= 8.13 units of alcohol (UK).</v>
      </c>
      <c r="H213" s="2935"/>
      <c r="I213" s="2935"/>
      <c r="J213" s="2935"/>
      <c r="K213" s="2174"/>
      <c r="L213" s="839"/>
      <c r="M213" s="896"/>
      <c r="N213" s="2921" t="s">
        <v>936</v>
      </c>
      <c r="O213" s="2921"/>
      <c r="P213" s="2921"/>
      <c r="Q213" s="2943" t="str">
        <f>"= "&amp;FIXED($O$208*29.5735*$G$205/1000,2)&amp;" units of alcohol (UK)."</f>
        <v>= 2.57 units of alcohol (UK).</v>
      </c>
      <c r="R213" s="2943"/>
      <c r="S213" s="2943"/>
      <c r="T213" s="2943"/>
      <c r="U213" s="2943"/>
      <c r="V213" s="2943"/>
      <c r="W213" s="932"/>
      <c r="AJ213"/>
      <c r="AK213"/>
      <c r="AL213" s="848"/>
      <c r="AO213" s="928">
        <f t="shared" si="97"/>
        <v>14</v>
      </c>
      <c r="AP213" s="920">
        <v>1.05</v>
      </c>
      <c r="AR213" s="484"/>
      <c r="AS213" s="891"/>
      <c r="AT213" s="891"/>
      <c r="AU213" s="883"/>
    </row>
    <row r="214" spans="1:47" ht="13.5">
      <c r="A214" s="641"/>
      <c r="B214" s="641"/>
      <c r="C214" s="798"/>
      <c r="D214" s="896"/>
      <c r="E214" s="896"/>
      <c r="F214" s="896"/>
      <c r="G214" s="892"/>
      <c r="H214" s="896"/>
      <c r="I214" s="896"/>
      <c r="J214" s="896"/>
      <c r="K214" s="896"/>
      <c r="L214" s="896"/>
      <c r="M214" s="934"/>
      <c r="N214" s="934"/>
      <c r="O214" s="894"/>
      <c r="P214" s="935"/>
      <c r="Q214" s="934"/>
      <c r="R214" s="934"/>
      <c r="S214" s="936"/>
      <c r="T214" s="936"/>
      <c r="U214" s="936"/>
      <c r="V214" s="936"/>
      <c r="W214" s="657"/>
      <c r="AJ214"/>
      <c r="AK214"/>
      <c r="AL214" s="848"/>
      <c r="AO214" s="928">
        <f t="shared" si="97"/>
        <v>15</v>
      </c>
      <c r="AP214" s="920">
        <v>1.019</v>
      </c>
      <c r="AT214" s="646"/>
      <c r="AU214" s="646"/>
    </row>
    <row r="215" spans="1:42" ht="13.5">
      <c r="A215" s="641"/>
      <c r="B215" s="641"/>
      <c r="C215" s="798"/>
      <c r="D215" s="896"/>
      <c r="E215" s="896"/>
      <c r="F215" s="896"/>
      <c r="G215" s="892"/>
      <c r="H215" s="896"/>
      <c r="I215" s="896"/>
      <c r="J215" s="896"/>
      <c r="K215" s="896"/>
      <c r="L215" s="896"/>
      <c r="M215" s="798"/>
      <c r="N215" s="798"/>
      <c r="O215" s="896"/>
      <c r="P215" s="929"/>
      <c r="Q215" s="798"/>
      <c r="R215" s="798"/>
      <c r="S215" s="657"/>
      <c r="T215" s="2923" t="s">
        <v>702</v>
      </c>
      <c r="U215" s="2924"/>
      <c r="V215" s="2925"/>
      <c r="W215" s="657"/>
      <c r="AJ215"/>
      <c r="AK215"/>
      <c r="AL215"/>
      <c r="AM215"/>
      <c r="AN215"/>
      <c r="AO215" s="928">
        <f t="shared" si="97"/>
        <v>16</v>
      </c>
      <c r="AP215" s="920">
        <v>0.985</v>
      </c>
    </row>
    <row r="216" spans="1:42" ht="13.5">
      <c r="A216" s="641"/>
      <c r="B216" s="641"/>
      <c r="C216" s="798"/>
      <c r="D216" s="896"/>
      <c r="E216" s="896"/>
      <c r="F216" s="896"/>
      <c r="G216" s="929"/>
      <c r="H216" s="896"/>
      <c r="I216" s="798"/>
      <c r="J216" s="798"/>
      <c r="K216" s="798"/>
      <c r="L216" s="798"/>
      <c r="M216" s="798"/>
      <c r="N216" s="798"/>
      <c r="O216" s="896"/>
      <c r="P216" s="929"/>
      <c r="Q216" s="798"/>
      <c r="R216" s="798"/>
      <c r="S216" s="657"/>
      <c r="T216" s="918" t="s">
        <v>106</v>
      </c>
      <c r="U216" s="918" t="s">
        <v>1001</v>
      </c>
      <c r="V216" s="918" t="s">
        <v>273</v>
      </c>
      <c r="W216" s="657"/>
      <c r="AJ216"/>
      <c r="AK216"/>
      <c r="AL216"/>
      <c r="AM216"/>
      <c r="AN216"/>
      <c r="AO216" s="928">
        <f t="shared" si="97"/>
        <v>17</v>
      </c>
      <c r="AP216" s="920">
        <v>0.956</v>
      </c>
    </row>
    <row r="217" spans="1:42" ht="13.5">
      <c r="A217" s="641"/>
      <c r="B217" s="641"/>
      <c r="C217" s="798"/>
      <c r="D217" s="896"/>
      <c r="E217" s="896"/>
      <c r="F217" s="896"/>
      <c r="G217" s="929"/>
      <c r="H217" s="896"/>
      <c r="I217" s="798"/>
      <c r="J217" s="798"/>
      <c r="K217" s="798"/>
      <c r="L217" s="798"/>
      <c r="M217" s="798"/>
      <c r="N217" s="798"/>
      <c r="O217" s="896"/>
      <c r="P217" s="929"/>
      <c r="Q217" s="798"/>
      <c r="R217" s="798"/>
      <c r="S217" s="657"/>
      <c r="T217" s="926">
        <v>1</v>
      </c>
      <c r="U217" s="1435">
        <f aca="true" t="shared" si="98" ref="U217:U238">T$198*T217</f>
        <v>0.111</v>
      </c>
      <c r="V217" s="918">
        <f>U217*28.3495</f>
        <v>3.1467945</v>
      </c>
      <c r="W217" s="657"/>
      <c r="AJ217"/>
      <c r="AK217"/>
      <c r="AL217"/>
      <c r="AM217"/>
      <c r="AN217"/>
      <c r="AO217" s="928">
        <f t="shared" si="97"/>
        <v>18</v>
      </c>
      <c r="AP217" s="920">
        <v>0.928</v>
      </c>
    </row>
    <row r="218" spans="1:42" ht="13.5">
      <c r="A218" s="641"/>
      <c r="B218" s="641"/>
      <c r="C218" s="798"/>
      <c r="D218" s="896"/>
      <c r="E218" s="896"/>
      <c r="F218" s="896"/>
      <c r="G218" s="929"/>
      <c r="H218" s="896"/>
      <c r="I218" s="798"/>
      <c r="J218" s="798"/>
      <c r="K218" s="798"/>
      <c r="L218" s="798"/>
      <c r="M218" s="798"/>
      <c r="N218" s="798"/>
      <c r="O218" s="896"/>
      <c r="P218" s="929"/>
      <c r="Q218" s="798"/>
      <c r="R218" s="798"/>
      <c r="S218" s="657"/>
      <c r="T218" s="926">
        <f aca="true" t="shared" si="99" ref="T218:T238">T217+0.5</f>
        <v>1.5</v>
      </c>
      <c r="U218" s="1435">
        <f t="shared" si="98"/>
        <v>0.1665</v>
      </c>
      <c r="V218" s="918">
        <f aca="true" t="shared" si="100" ref="V218:V257">U218*28.3495</f>
        <v>4.72019175</v>
      </c>
      <c r="W218" s="657"/>
      <c r="AJ218"/>
      <c r="AK218"/>
      <c r="AL218"/>
      <c r="AM218"/>
      <c r="AN218"/>
      <c r="AO218" s="928">
        <f t="shared" si="97"/>
        <v>19</v>
      </c>
      <c r="AP218" s="920">
        <v>0.902</v>
      </c>
    </row>
    <row r="219" spans="1:42" ht="13.5">
      <c r="A219" s="641"/>
      <c r="B219" s="641"/>
      <c r="C219" s="798"/>
      <c r="D219" s="896"/>
      <c r="E219" s="896"/>
      <c r="F219" s="896"/>
      <c r="G219" s="929"/>
      <c r="H219" s="896"/>
      <c r="I219" s="798"/>
      <c r="J219" s="798"/>
      <c r="K219" s="798"/>
      <c r="L219" s="798"/>
      <c r="M219" s="798"/>
      <c r="N219" s="798"/>
      <c r="O219" s="896"/>
      <c r="P219" s="929"/>
      <c r="Q219" s="798"/>
      <c r="R219" s="798"/>
      <c r="S219" s="657"/>
      <c r="T219" s="926">
        <f t="shared" si="99"/>
        <v>2</v>
      </c>
      <c r="U219" s="1435">
        <f t="shared" si="98"/>
        <v>0.222</v>
      </c>
      <c r="V219" s="918">
        <f t="shared" si="100"/>
        <v>6.293589</v>
      </c>
      <c r="W219" s="657"/>
      <c r="AJ219"/>
      <c r="AK219"/>
      <c r="AL219"/>
      <c r="AM219"/>
      <c r="AN219"/>
      <c r="AO219" s="928">
        <f t="shared" si="97"/>
        <v>20</v>
      </c>
      <c r="AP219" s="920">
        <v>0.878</v>
      </c>
    </row>
    <row r="220" spans="1:42" ht="13.5">
      <c r="A220" s="641"/>
      <c r="B220" s="641"/>
      <c r="C220" s="798"/>
      <c r="D220" s="896"/>
      <c r="E220" s="896"/>
      <c r="F220" s="896"/>
      <c r="G220" s="929"/>
      <c r="H220" s="896"/>
      <c r="I220" s="798"/>
      <c r="J220" s="798"/>
      <c r="K220" s="798"/>
      <c r="L220" s="798"/>
      <c r="M220" s="798"/>
      <c r="N220" s="798"/>
      <c r="O220" s="896"/>
      <c r="P220" s="929"/>
      <c r="Q220" s="798"/>
      <c r="R220" s="798"/>
      <c r="S220" s="657"/>
      <c r="T220" s="926">
        <f t="shared" si="99"/>
        <v>2.5</v>
      </c>
      <c r="U220" s="1435">
        <f t="shared" si="98"/>
        <v>0.2775</v>
      </c>
      <c r="V220" s="918">
        <f t="shared" si="100"/>
        <v>7.86698625</v>
      </c>
      <c r="W220" s="657"/>
      <c r="AJ220"/>
      <c r="AK220"/>
      <c r="AL220"/>
      <c r="AM220"/>
      <c r="AN220"/>
      <c r="AO220" s="928">
        <f t="shared" si="97"/>
        <v>21</v>
      </c>
      <c r="AP220" s="920">
        <v>0.854</v>
      </c>
    </row>
    <row r="221" spans="1:42" ht="13.5">
      <c r="A221" s="641"/>
      <c r="B221" s="641"/>
      <c r="C221" s="798"/>
      <c r="D221" s="896"/>
      <c r="E221" s="896"/>
      <c r="F221" s="896"/>
      <c r="G221" s="929"/>
      <c r="H221" s="896"/>
      <c r="I221" s="798"/>
      <c r="J221" s="798"/>
      <c r="K221" s="798"/>
      <c r="L221" s="798"/>
      <c r="M221" s="798"/>
      <c r="N221" s="798"/>
      <c r="O221" s="896"/>
      <c r="P221" s="929"/>
      <c r="Q221" s="798"/>
      <c r="R221" s="798"/>
      <c r="S221" s="657"/>
      <c r="T221" s="926">
        <f t="shared" si="99"/>
        <v>3</v>
      </c>
      <c r="U221" s="1435">
        <f t="shared" si="98"/>
        <v>0.333</v>
      </c>
      <c r="V221" s="918">
        <f t="shared" si="100"/>
        <v>9.4403835</v>
      </c>
      <c r="W221" s="657"/>
      <c r="AJ221"/>
      <c r="AK221"/>
      <c r="AL221"/>
      <c r="AM221"/>
      <c r="AN221"/>
      <c r="AO221" s="928">
        <f t="shared" si="97"/>
        <v>22</v>
      </c>
      <c r="AP221" s="920">
        <v>0.829</v>
      </c>
    </row>
    <row r="222" spans="1:42" ht="13.5">
      <c r="A222" s="641"/>
      <c r="B222" s="641"/>
      <c r="C222" s="798"/>
      <c r="D222" s="896"/>
      <c r="E222" s="896"/>
      <c r="F222" s="896"/>
      <c r="G222" s="929"/>
      <c r="H222" s="896"/>
      <c r="I222" s="798"/>
      <c r="J222" s="798"/>
      <c r="K222" s="798"/>
      <c r="L222" s="798"/>
      <c r="M222" s="798"/>
      <c r="N222" s="798"/>
      <c r="O222" s="896"/>
      <c r="P222" s="929"/>
      <c r="Q222" s="798"/>
      <c r="R222" s="798"/>
      <c r="S222" s="657"/>
      <c r="T222" s="926">
        <f t="shared" si="99"/>
        <v>3.5</v>
      </c>
      <c r="U222" s="1435">
        <f t="shared" si="98"/>
        <v>0.3885</v>
      </c>
      <c r="V222" s="918">
        <f t="shared" si="100"/>
        <v>11.01378075</v>
      </c>
      <c r="W222" s="657"/>
      <c r="AJ222"/>
      <c r="AK222"/>
      <c r="AL222"/>
      <c r="AM222"/>
      <c r="AN222"/>
      <c r="AO222" s="928">
        <f t="shared" si="97"/>
        <v>23</v>
      </c>
      <c r="AP222" s="920">
        <v>0.804</v>
      </c>
    </row>
    <row r="223" spans="1:42" ht="13.5">
      <c r="A223" s="641"/>
      <c r="B223" s="641"/>
      <c r="C223" s="798"/>
      <c r="D223" s="896"/>
      <c r="E223" s="896"/>
      <c r="F223" s="896"/>
      <c r="G223" s="929"/>
      <c r="H223" s="896"/>
      <c r="I223" s="798"/>
      <c r="J223" s="798"/>
      <c r="K223" s="798"/>
      <c r="L223" s="798"/>
      <c r="M223" s="798"/>
      <c r="N223" s="798"/>
      <c r="O223" s="896"/>
      <c r="P223" s="929"/>
      <c r="Q223" s="798"/>
      <c r="R223" s="798"/>
      <c r="S223" s="657"/>
      <c r="T223" s="926">
        <f t="shared" si="99"/>
        <v>4</v>
      </c>
      <c r="U223" s="1435">
        <f t="shared" si="98"/>
        <v>0.444</v>
      </c>
      <c r="V223" s="918">
        <f t="shared" si="100"/>
        <v>12.587178</v>
      </c>
      <c r="W223" s="657"/>
      <c r="AB223" s="646"/>
      <c r="AC223" s="646"/>
      <c r="AD223" s="646"/>
      <c r="AE223" s="646"/>
      <c r="AF223" s="646"/>
      <c r="AG223" s="646"/>
      <c r="AH223" s="646"/>
      <c r="AI223" s="646"/>
      <c r="AJ223"/>
      <c r="AK223"/>
      <c r="AL223"/>
      <c r="AM223"/>
      <c r="AN223"/>
      <c r="AO223" s="928">
        <f t="shared" si="97"/>
        <v>24</v>
      </c>
      <c r="AP223" s="920">
        <v>0.781</v>
      </c>
    </row>
    <row r="224" spans="1:42" ht="13.5">
      <c r="A224" s="641"/>
      <c r="B224" s="641"/>
      <c r="C224" s="798"/>
      <c r="D224" s="896"/>
      <c r="E224" s="896"/>
      <c r="F224" s="896"/>
      <c r="G224" s="929"/>
      <c r="H224" s="896"/>
      <c r="I224" s="798"/>
      <c r="J224" s="798"/>
      <c r="K224" s="798"/>
      <c r="L224" s="798"/>
      <c r="M224" s="798"/>
      <c r="N224" s="798"/>
      <c r="O224" s="896"/>
      <c r="P224" s="929"/>
      <c r="Q224" s="798"/>
      <c r="R224" s="798"/>
      <c r="S224" s="657"/>
      <c r="T224" s="926">
        <f t="shared" si="99"/>
        <v>4.5</v>
      </c>
      <c r="U224" s="1435">
        <f t="shared" si="98"/>
        <v>0.4995</v>
      </c>
      <c r="V224" s="918">
        <f t="shared" si="100"/>
        <v>14.160575249999999</v>
      </c>
      <c r="W224" s="657"/>
      <c r="AB224" s="646"/>
      <c r="AC224" s="646"/>
      <c r="AD224" s="646"/>
      <c r="AE224" s="646"/>
      <c r="AF224" s="646"/>
      <c r="AG224" s="646"/>
      <c r="AH224" s="646"/>
      <c r="AI224" s="646"/>
      <c r="AJ224"/>
      <c r="AK224"/>
      <c r="AL224"/>
      <c r="AM224"/>
      <c r="AN224"/>
      <c r="AO224" s="928">
        <f t="shared" si="97"/>
        <v>25</v>
      </c>
      <c r="AP224" s="920">
        <v>0.759</v>
      </c>
    </row>
    <row r="225" spans="1:42" ht="13.5">
      <c r="A225" s="641"/>
      <c r="B225" s="641"/>
      <c r="C225" s="798"/>
      <c r="D225" s="896"/>
      <c r="E225" s="896"/>
      <c r="F225" s="896"/>
      <c r="G225" s="929"/>
      <c r="H225" s="896"/>
      <c r="I225" s="798"/>
      <c r="J225" s="798"/>
      <c r="K225" s="798"/>
      <c r="L225" s="798"/>
      <c r="M225" s="798"/>
      <c r="N225" s="798"/>
      <c r="O225" s="896"/>
      <c r="P225" s="929"/>
      <c r="Q225" s="798"/>
      <c r="R225" s="798"/>
      <c r="S225" s="657"/>
      <c r="T225" s="926">
        <f t="shared" si="99"/>
        <v>5</v>
      </c>
      <c r="U225" s="1435">
        <f t="shared" si="98"/>
        <v>0.555</v>
      </c>
      <c r="V225" s="918">
        <f t="shared" si="100"/>
        <v>15.7339725</v>
      </c>
      <c r="W225" s="657"/>
      <c r="AB225" s="646"/>
      <c r="AC225" s="646"/>
      <c r="AD225" s="646"/>
      <c r="AE225" s="646"/>
      <c r="AF225" s="646"/>
      <c r="AG225" s="646"/>
      <c r="AH225" s="646"/>
      <c r="AI225" s="646"/>
      <c r="AJ225"/>
      <c r="AK225"/>
      <c r="AL225"/>
      <c r="AM225"/>
      <c r="AN225"/>
      <c r="AO225" s="928">
        <f t="shared" si="97"/>
        <v>26</v>
      </c>
      <c r="AP225" s="920">
        <v>0.738</v>
      </c>
    </row>
    <row r="226" spans="1:42" ht="13.5">
      <c r="A226" s="641"/>
      <c r="B226" s="641"/>
      <c r="C226" s="798"/>
      <c r="D226" s="896"/>
      <c r="E226" s="896"/>
      <c r="F226" s="896"/>
      <c r="G226" s="929"/>
      <c r="H226" s="896"/>
      <c r="I226" s="798"/>
      <c r="J226" s="798"/>
      <c r="K226" s="798"/>
      <c r="L226" s="798"/>
      <c r="M226" s="798"/>
      <c r="N226" s="798"/>
      <c r="O226" s="896"/>
      <c r="P226" s="929"/>
      <c r="Q226" s="798"/>
      <c r="R226" s="798"/>
      <c r="S226" s="657"/>
      <c r="T226" s="926">
        <f t="shared" si="99"/>
        <v>5.5</v>
      </c>
      <c r="U226" s="1435">
        <f t="shared" si="98"/>
        <v>0.6105</v>
      </c>
      <c r="V226" s="918">
        <f t="shared" si="100"/>
        <v>17.30736975</v>
      </c>
      <c r="W226" s="657"/>
      <c r="AB226" s="646"/>
      <c r="AC226" s="646"/>
      <c r="AD226" s="646"/>
      <c r="AE226" s="646"/>
      <c r="AF226" s="646"/>
      <c r="AG226" s="646"/>
      <c r="AH226" s="646"/>
      <c r="AI226" s="646"/>
      <c r="AJ226"/>
      <c r="AK226"/>
      <c r="AL226"/>
      <c r="AM226"/>
      <c r="AN226"/>
      <c r="AO226" s="928">
        <f t="shared" si="97"/>
        <v>27</v>
      </c>
      <c r="AP226" s="920">
        <v>0.718</v>
      </c>
    </row>
    <row r="227" spans="1:42" ht="13.5">
      <c r="A227" s="641"/>
      <c r="B227" s="641"/>
      <c r="C227" s="798"/>
      <c r="D227" s="896"/>
      <c r="E227" s="896"/>
      <c r="F227" s="896"/>
      <c r="G227" s="929"/>
      <c r="H227" s="896"/>
      <c r="I227" s="798"/>
      <c r="J227" s="798"/>
      <c r="K227" s="798"/>
      <c r="L227" s="798"/>
      <c r="M227" s="798"/>
      <c r="N227" s="798"/>
      <c r="O227" s="896"/>
      <c r="P227" s="929"/>
      <c r="Q227" s="798"/>
      <c r="R227" s="798"/>
      <c r="S227" s="657"/>
      <c r="T227" s="926">
        <f t="shared" si="99"/>
        <v>6</v>
      </c>
      <c r="U227" s="1435">
        <f t="shared" si="98"/>
        <v>0.666</v>
      </c>
      <c r="V227" s="918">
        <f t="shared" si="100"/>
        <v>18.880767</v>
      </c>
      <c r="W227" s="657"/>
      <c r="AB227" s="646"/>
      <c r="AC227" s="646"/>
      <c r="AD227" s="646"/>
      <c r="AE227" s="646"/>
      <c r="AF227" s="646"/>
      <c r="AG227" s="646"/>
      <c r="AH227" s="646"/>
      <c r="AI227" s="646"/>
      <c r="AJ227"/>
      <c r="AK227"/>
      <c r="AL227"/>
      <c r="AM227"/>
      <c r="AN227"/>
      <c r="AO227" s="928">
        <f t="shared" si="97"/>
        <v>28</v>
      </c>
      <c r="AP227" s="920">
        <v>0.699</v>
      </c>
    </row>
    <row r="228" spans="1:42" ht="13.5">
      <c r="A228" s="641"/>
      <c r="B228" s="641"/>
      <c r="C228" s="798"/>
      <c r="D228" s="896"/>
      <c r="E228" s="896"/>
      <c r="F228" s="896"/>
      <c r="G228" s="929"/>
      <c r="H228" s="896"/>
      <c r="I228" s="798"/>
      <c r="J228" s="798"/>
      <c r="K228" s="798"/>
      <c r="L228" s="798"/>
      <c r="M228" s="798"/>
      <c r="N228" s="798"/>
      <c r="O228" s="896"/>
      <c r="P228" s="929"/>
      <c r="Q228" s="798"/>
      <c r="R228" s="798"/>
      <c r="S228" s="657"/>
      <c r="T228" s="926">
        <f t="shared" si="99"/>
        <v>6.5</v>
      </c>
      <c r="U228" s="1435">
        <f t="shared" si="98"/>
        <v>0.7215</v>
      </c>
      <c r="V228" s="918">
        <f t="shared" si="100"/>
        <v>20.45416425</v>
      </c>
      <c r="W228" s="657"/>
      <c r="AB228" s="646"/>
      <c r="AC228" s="646"/>
      <c r="AD228" s="646"/>
      <c r="AE228" s="646"/>
      <c r="AF228" s="646"/>
      <c r="AG228" s="646"/>
      <c r="AH228" s="646"/>
      <c r="AI228" s="646"/>
      <c r="AJ228"/>
      <c r="AK228"/>
      <c r="AL228"/>
      <c r="AM228"/>
      <c r="AN228"/>
      <c r="AO228" s="928">
        <f t="shared" si="97"/>
        <v>29</v>
      </c>
      <c r="AP228" s="920">
        <v>0.682</v>
      </c>
    </row>
    <row r="229" spans="1:42" ht="13.5">
      <c r="A229" s="641"/>
      <c r="B229" s="641"/>
      <c r="C229" s="798"/>
      <c r="D229" s="896"/>
      <c r="E229" s="896"/>
      <c r="F229" s="896"/>
      <c r="G229" s="929"/>
      <c r="H229" s="896"/>
      <c r="I229" s="798"/>
      <c r="J229" s="798"/>
      <c r="K229" s="798"/>
      <c r="L229" s="798"/>
      <c r="M229" s="798"/>
      <c r="N229" s="798"/>
      <c r="O229" s="896"/>
      <c r="P229" s="929"/>
      <c r="Q229" s="798"/>
      <c r="R229" s="798"/>
      <c r="S229" s="657"/>
      <c r="T229" s="926">
        <f t="shared" si="99"/>
        <v>7</v>
      </c>
      <c r="U229" s="1435">
        <f t="shared" si="98"/>
        <v>0.777</v>
      </c>
      <c r="V229" s="918">
        <f t="shared" si="100"/>
        <v>22.0275615</v>
      </c>
      <c r="W229" s="657"/>
      <c r="X229" s="646"/>
      <c r="Y229" s="646"/>
      <c r="Z229" s="646"/>
      <c r="AA229" s="646"/>
      <c r="AB229" s="646"/>
      <c r="AC229" s="646"/>
      <c r="AD229" s="646"/>
      <c r="AE229" s="646"/>
      <c r="AF229" s="646"/>
      <c r="AG229" s="646"/>
      <c r="AH229" s="646"/>
      <c r="AI229" s="646"/>
      <c r="AJ229"/>
      <c r="AK229"/>
      <c r="AL229"/>
      <c r="AM229"/>
      <c r="AN229"/>
      <c r="AO229" s="928">
        <f t="shared" si="97"/>
        <v>30</v>
      </c>
      <c r="AP229" s="920">
        <v>0.665</v>
      </c>
    </row>
    <row r="230" spans="1:38" ht="13.5">
      <c r="A230" s="641"/>
      <c r="B230" s="641"/>
      <c r="C230" s="798"/>
      <c r="D230" s="896"/>
      <c r="E230" s="896"/>
      <c r="F230" s="896"/>
      <c r="G230" s="929"/>
      <c r="H230" s="896"/>
      <c r="I230" s="798"/>
      <c r="J230" s="798"/>
      <c r="K230" s="798"/>
      <c r="L230" s="798"/>
      <c r="M230" s="798"/>
      <c r="N230" s="798"/>
      <c r="O230" s="896"/>
      <c r="P230" s="929"/>
      <c r="Q230" s="798"/>
      <c r="R230" s="798"/>
      <c r="S230" s="657"/>
      <c r="T230" s="926">
        <f t="shared" si="99"/>
        <v>7.5</v>
      </c>
      <c r="U230" s="1435">
        <f t="shared" si="98"/>
        <v>0.8325</v>
      </c>
      <c r="V230" s="918">
        <f t="shared" si="100"/>
        <v>23.60095875</v>
      </c>
      <c r="W230" s="657"/>
      <c r="X230" s="646"/>
      <c r="Y230" s="646"/>
      <c r="Z230" s="646"/>
      <c r="AA230" s="646"/>
      <c r="AB230" s="646"/>
      <c r="AC230" s="646"/>
      <c r="AD230" s="646"/>
      <c r="AE230" s="646"/>
      <c r="AF230" s="646"/>
      <c r="AG230" s="646"/>
      <c r="AH230" s="646"/>
      <c r="AI230" s="646"/>
      <c r="AJ230" s="843"/>
      <c r="AK230" s="842"/>
      <c r="AL230" s="848"/>
    </row>
    <row r="231" spans="1:38" ht="13.5">
      <c r="A231" s="641"/>
      <c r="B231" s="641"/>
      <c r="C231" s="798"/>
      <c r="D231" s="896"/>
      <c r="E231" s="896"/>
      <c r="F231" s="896"/>
      <c r="G231" s="929"/>
      <c r="H231" s="896"/>
      <c r="I231" s="798"/>
      <c r="J231" s="798"/>
      <c r="K231" s="798"/>
      <c r="L231" s="798"/>
      <c r="M231" s="798"/>
      <c r="N231" s="798"/>
      <c r="O231" s="896"/>
      <c r="P231" s="929"/>
      <c r="Q231" s="798"/>
      <c r="R231" s="798"/>
      <c r="S231" s="657"/>
      <c r="T231" s="926">
        <f t="shared" si="99"/>
        <v>8</v>
      </c>
      <c r="U231" s="1435">
        <f t="shared" si="98"/>
        <v>0.888</v>
      </c>
      <c r="V231" s="918">
        <f t="shared" si="100"/>
        <v>25.174356</v>
      </c>
      <c r="W231" s="657"/>
      <c r="X231" s="646"/>
      <c r="Y231" s="646"/>
      <c r="Z231" s="646"/>
      <c r="AA231" s="646"/>
      <c r="AB231" s="646"/>
      <c r="AC231" s="646"/>
      <c r="AD231" s="646"/>
      <c r="AE231" s="646"/>
      <c r="AF231" s="646"/>
      <c r="AG231" s="646"/>
      <c r="AH231" s="646"/>
      <c r="AI231" s="646"/>
      <c r="AJ231" s="843"/>
      <c r="AK231" s="842"/>
      <c r="AL231" s="848"/>
    </row>
    <row r="232" spans="1:38" ht="13.5">
      <c r="A232" s="641"/>
      <c r="B232" s="641"/>
      <c r="C232" s="798"/>
      <c r="D232" s="896"/>
      <c r="E232" s="896"/>
      <c r="F232" s="896"/>
      <c r="G232" s="929"/>
      <c r="H232" s="896"/>
      <c r="I232" s="798"/>
      <c r="J232" s="798"/>
      <c r="K232" s="798"/>
      <c r="L232" s="798"/>
      <c r="M232" s="798"/>
      <c r="N232" s="798"/>
      <c r="O232" s="896"/>
      <c r="P232" s="929"/>
      <c r="Q232" s="798"/>
      <c r="R232" s="798"/>
      <c r="S232" s="657"/>
      <c r="T232" s="926">
        <f t="shared" si="99"/>
        <v>8.5</v>
      </c>
      <c r="U232" s="1435">
        <f t="shared" si="98"/>
        <v>0.9435</v>
      </c>
      <c r="V232" s="918">
        <f t="shared" si="100"/>
        <v>26.74775325</v>
      </c>
      <c r="W232" s="657"/>
      <c r="X232" s="646"/>
      <c r="Y232" s="646"/>
      <c r="Z232" s="646"/>
      <c r="AA232" s="646"/>
      <c r="AB232" s="646"/>
      <c r="AC232" s="646"/>
      <c r="AD232" s="646"/>
      <c r="AE232" s="646"/>
      <c r="AF232" s="646"/>
      <c r="AG232" s="646"/>
      <c r="AH232" s="646"/>
      <c r="AI232" s="646"/>
      <c r="AJ232" s="843"/>
      <c r="AK232" s="842"/>
      <c r="AL232" s="848"/>
    </row>
    <row r="233" spans="1:38" ht="13.5">
      <c r="A233" s="641"/>
      <c r="B233" s="641"/>
      <c r="C233" s="798"/>
      <c r="D233" s="896"/>
      <c r="E233" s="896"/>
      <c r="F233" s="896"/>
      <c r="G233" s="929"/>
      <c r="H233" s="896"/>
      <c r="I233" s="798"/>
      <c r="J233" s="798"/>
      <c r="K233" s="798"/>
      <c r="L233" s="798"/>
      <c r="M233" s="798"/>
      <c r="N233" s="798"/>
      <c r="O233" s="896"/>
      <c r="P233" s="929"/>
      <c r="Q233" s="798"/>
      <c r="R233" s="798"/>
      <c r="S233" s="657"/>
      <c r="T233" s="926">
        <f t="shared" si="99"/>
        <v>9</v>
      </c>
      <c r="U233" s="1435">
        <f t="shared" si="98"/>
        <v>0.999</v>
      </c>
      <c r="V233" s="918">
        <f t="shared" si="100"/>
        <v>28.321150499999998</v>
      </c>
      <c r="W233" s="657"/>
      <c r="X233" s="646"/>
      <c r="Y233" s="646"/>
      <c r="Z233" s="646"/>
      <c r="AA233" s="646"/>
      <c r="AB233" s="646"/>
      <c r="AC233" s="646"/>
      <c r="AD233" s="646"/>
      <c r="AE233" s="646"/>
      <c r="AF233" s="646"/>
      <c r="AG233" s="646"/>
      <c r="AH233" s="646"/>
      <c r="AI233" s="646"/>
      <c r="AJ233" s="843"/>
      <c r="AK233" s="842"/>
      <c r="AL233" s="848"/>
    </row>
    <row r="234" spans="1:38" ht="13.5">
      <c r="A234" s="641"/>
      <c r="B234" s="641"/>
      <c r="C234" s="798"/>
      <c r="D234" s="896"/>
      <c r="E234" s="896"/>
      <c r="F234" s="896"/>
      <c r="G234" s="929"/>
      <c r="H234" s="896"/>
      <c r="I234" s="798"/>
      <c r="J234" s="798"/>
      <c r="K234" s="798"/>
      <c r="L234" s="798"/>
      <c r="M234" s="798"/>
      <c r="N234" s="798"/>
      <c r="O234" s="896"/>
      <c r="P234" s="929"/>
      <c r="Q234" s="798"/>
      <c r="R234" s="798"/>
      <c r="S234" s="657"/>
      <c r="T234" s="926">
        <f t="shared" si="99"/>
        <v>9.5</v>
      </c>
      <c r="U234" s="1435">
        <f t="shared" si="98"/>
        <v>1.0545</v>
      </c>
      <c r="V234" s="918">
        <f t="shared" si="100"/>
        <v>29.894547749999997</v>
      </c>
      <c r="W234" s="657"/>
      <c r="X234" s="646"/>
      <c r="Y234" s="646"/>
      <c r="Z234" s="646"/>
      <c r="AA234" s="646"/>
      <c r="AB234" s="646"/>
      <c r="AC234" s="646"/>
      <c r="AD234" s="646"/>
      <c r="AE234" s="646"/>
      <c r="AF234" s="646"/>
      <c r="AG234" s="646"/>
      <c r="AH234" s="646"/>
      <c r="AI234" s="646"/>
      <c r="AJ234" s="843"/>
      <c r="AK234" s="842"/>
      <c r="AL234" s="848"/>
    </row>
    <row r="235" spans="1:38" ht="13.5">
      <c r="A235" s="641"/>
      <c r="B235" s="641"/>
      <c r="C235" s="798"/>
      <c r="D235" s="896"/>
      <c r="E235" s="896"/>
      <c r="F235" s="896"/>
      <c r="G235" s="929"/>
      <c r="H235" s="896"/>
      <c r="I235" s="798"/>
      <c r="J235" s="798"/>
      <c r="K235" s="798"/>
      <c r="L235" s="798"/>
      <c r="M235" s="798"/>
      <c r="N235" s="798"/>
      <c r="O235" s="896"/>
      <c r="P235" s="929"/>
      <c r="Q235" s="798"/>
      <c r="R235" s="798"/>
      <c r="S235" s="657"/>
      <c r="T235" s="926">
        <f t="shared" si="99"/>
        <v>10</v>
      </c>
      <c r="U235" s="1435">
        <f t="shared" si="98"/>
        <v>1.11</v>
      </c>
      <c r="V235" s="918">
        <f t="shared" si="100"/>
        <v>31.467945</v>
      </c>
      <c r="W235" s="657"/>
      <c r="X235" s="646"/>
      <c r="Y235" s="646"/>
      <c r="Z235" s="646"/>
      <c r="AA235" s="646"/>
      <c r="AB235" s="646"/>
      <c r="AC235" s="646"/>
      <c r="AD235" s="646"/>
      <c r="AE235" s="646"/>
      <c r="AF235" s="646"/>
      <c r="AG235" s="646"/>
      <c r="AH235" s="646"/>
      <c r="AI235" s="646"/>
      <c r="AJ235" s="843"/>
      <c r="AK235" s="842"/>
      <c r="AL235" s="848"/>
    </row>
    <row r="236" spans="1:38" ht="13.5">
      <c r="A236" s="641"/>
      <c r="B236" s="641"/>
      <c r="C236" s="798"/>
      <c r="D236" s="896"/>
      <c r="E236" s="896"/>
      <c r="F236" s="896"/>
      <c r="G236" s="929"/>
      <c r="H236" s="896"/>
      <c r="I236" s="798"/>
      <c r="J236" s="798"/>
      <c r="K236" s="798"/>
      <c r="L236" s="798"/>
      <c r="M236" s="798"/>
      <c r="N236" s="798"/>
      <c r="O236" s="896"/>
      <c r="P236" s="929"/>
      <c r="Q236" s="798"/>
      <c r="R236" s="798"/>
      <c r="S236" s="657"/>
      <c r="T236" s="926">
        <f t="shared" si="99"/>
        <v>10.5</v>
      </c>
      <c r="U236" s="1435">
        <f t="shared" si="98"/>
        <v>1.1655</v>
      </c>
      <c r="V236" s="918">
        <f t="shared" si="100"/>
        <v>33.04134225</v>
      </c>
      <c r="W236" s="657"/>
      <c r="X236" s="646"/>
      <c r="Y236" s="646"/>
      <c r="Z236" s="646"/>
      <c r="AA236" s="646"/>
      <c r="AB236" s="646"/>
      <c r="AC236" s="646"/>
      <c r="AD236" s="646"/>
      <c r="AE236" s="646"/>
      <c r="AF236" s="646"/>
      <c r="AG236" s="646"/>
      <c r="AH236" s="646"/>
      <c r="AI236" s="646"/>
      <c r="AJ236" s="843"/>
      <c r="AK236" s="842"/>
      <c r="AL236" s="848"/>
    </row>
    <row r="237" spans="1:38" ht="13.5">
      <c r="A237" s="641"/>
      <c r="B237" s="641"/>
      <c r="C237" s="798"/>
      <c r="D237" s="896"/>
      <c r="E237" s="896"/>
      <c r="F237" s="896"/>
      <c r="G237" s="929"/>
      <c r="H237" s="896"/>
      <c r="I237" s="798"/>
      <c r="J237" s="798"/>
      <c r="K237" s="798"/>
      <c r="L237" s="798"/>
      <c r="M237" s="798"/>
      <c r="N237" s="798"/>
      <c r="O237" s="896"/>
      <c r="P237" s="929"/>
      <c r="Q237" s="798"/>
      <c r="R237" s="798"/>
      <c r="S237" s="657"/>
      <c r="T237" s="926">
        <f t="shared" si="99"/>
        <v>11</v>
      </c>
      <c r="U237" s="1435">
        <f t="shared" si="98"/>
        <v>1.221</v>
      </c>
      <c r="V237" s="918">
        <f t="shared" si="100"/>
        <v>34.6147395</v>
      </c>
      <c r="W237" s="657"/>
      <c r="X237" s="646"/>
      <c r="Y237" s="646"/>
      <c r="Z237" s="646"/>
      <c r="AA237" s="646"/>
      <c r="AB237" s="646"/>
      <c r="AC237" s="646"/>
      <c r="AD237" s="646"/>
      <c r="AE237" s="646"/>
      <c r="AF237" s="646"/>
      <c r="AG237" s="646"/>
      <c r="AH237" s="646"/>
      <c r="AI237" s="646"/>
      <c r="AJ237" s="843"/>
      <c r="AK237" s="842"/>
      <c r="AL237" s="848"/>
    </row>
    <row r="238" spans="1:38" ht="13.5">
      <c r="A238" s="641"/>
      <c r="B238" s="641"/>
      <c r="C238" s="798"/>
      <c r="D238" s="896"/>
      <c r="E238" s="896"/>
      <c r="F238" s="896"/>
      <c r="G238" s="929"/>
      <c r="H238" s="896"/>
      <c r="I238" s="798"/>
      <c r="J238" s="798"/>
      <c r="K238" s="798"/>
      <c r="L238" s="798"/>
      <c r="M238" s="798"/>
      <c r="N238" s="798"/>
      <c r="O238" s="896"/>
      <c r="P238" s="929"/>
      <c r="Q238" s="798"/>
      <c r="R238" s="798"/>
      <c r="S238" s="657"/>
      <c r="T238" s="926">
        <f t="shared" si="99"/>
        <v>11.5</v>
      </c>
      <c r="U238" s="1435">
        <f t="shared" si="98"/>
        <v>1.2765</v>
      </c>
      <c r="V238" s="918">
        <f t="shared" si="100"/>
        <v>36.18813675</v>
      </c>
      <c r="W238" s="657"/>
      <c r="X238" s="646"/>
      <c r="Y238" s="646"/>
      <c r="Z238" s="646"/>
      <c r="AA238" s="646"/>
      <c r="AB238" s="646"/>
      <c r="AC238" s="646"/>
      <c r="AD238" s="646"/>
      <c r="AE238" s="646"/>
      <c r="AF238" s="646"/>
      <c r="AG238" s="646"/>
      <c r="AH238" s="646"/>
      <c r="AI238" s="646"/>
      <c r="AJ238" s="843"/>
      <c r="AK238" s="842"/>
      <c r="AL238" s="848"/>
    </row>
    <row r="239" spans="1:38" ht="13.5">
      <c r="A239" s="641"/>
      <c r="B239" s="641"/>
      <c r="C239" s="798"/>
      <c r="D239" s="896"/>
      <c r="E239" s="896"/>
      <c r="F239" s="896"/>
      <c r="G239" s="929"/>
      <c r="H239" s="896"/>
      <c r="I239" s="798"/>
      <c r="J239" s="798"/>
      <c r="K239" s="798"/>
      <c r="L239" s="798"/>
      <c r="M239" s="798"/>
      <c r="N239" s="798"/>
      <c r="O239" s="896"/>
      <c r="P239" s="929"/>
      <c r="Q239" s="798"/>
      <c r="R239" s="798"/>
      <c r="S239" s="657"/>
      <c r="T239" s="926">
        <f aca="true" t="shared" si="101" ref="T239:T256">T238+0.5</f>
        <v>12</v>
      </c>
      <c r="U239" s="1435">
        <f aca="true" t="shared" si="102" ref="U239:U256">T$198*T239</f>
        <v>1.332</v>
      </c>
      <c r="V239" s="918">
        <f t="shared" si="100"/>
        <v>37.761534</v>
      </c>
      <c r="W239" s="657"/>
      <c r="X239" s="646"/>
      <c r="Y239" s="646"/>
      <c r="Z239" s="646"/>
      <c r="AA239" s="646"/>
      <c r="AB239" s="646"/>
      <c r="AC239" s="646"/>
      <c r="AD239" s="646"/>
      <c r="AE239" s="646"/>
      <c r="AF239" s="646"/>
      <c r="AG239" s="646"/>
      <c r="AH239" s="646"/>
      <c r="AI239" s="646"/>
      <c r="AJ239" s="843"/>
      <c r="AK239" s="842"/>
      <c r="AL239" s="848"/>
    </row>
    <row r="240" spans="1:38" ht="13.5">
      <c r="A240" s="641"/>
      <c r="B240" s="641"/>
      <c r="C240" s="798"/>
      <c r="D240" s="896"/>
      <c r="E240" s="896"/>
      <c r="F240" s="896"/>
      <c r="G240" s="929"/>
      <c r="H240" s="896"/>
      <c r="I240" s="798"/>
      <c r="J240" s="798"/>
      <c r="K240" s="798"/>
      <c r="L240" s="798"/>
      <c r="M240" s="798"/>
      <c r="N240" s="798"/>
      <c r="O240" s="896"/>
      <c r="P240" s="929"/>
      <c r="Q240" s="798"/>
      <c r="R240" s="798"/>
      <c r="S240" s="657"/>
      <c r="T240" s="926">
        <f t="shared" si="101"/>
        <v>12.5</v>
      </c>
      <c r="U240" s="1435">
        <f t="shared" si="102"/>
        <v>1.3875</v>
      </c>
      <c r="V240" s="918">
        <f t="shared" si="100"/>
        <v>39.33493125</v>
      </c>
      <c r="W240" s="657"/>
      <c r="X240" s="646"/>
      <c r="Y240" s="646"/>
      <c r="Z240" s="646"/>
      <c r="AA240" s="646"/>
      <c r="AB240" s="646"/>
      <c r="AC240" s="646"/>
      <c r="AD240" s="646"/>
      <c r="AE240" s="646"/>
      <c r="AF240" s="646"/>
      <c r="AG240" s="646"/>
      <c r="AH240" s="646"/>
      <c r="AI240" s="646"/>
      <c r="AJ240" s="843"/>
      <c r="AK240" s="842"/>
      <c r="AL240" s="848"/>
    </row>
    <row r="241" spans="1:38" ht="13.5">
      <c r="A241" s="641"/>
      <c r="B241" s="641"/>
      <c r="C241" s="798"/>
      <c r="D241" s="896"/>
      <c r="E241" s="896"/>
      <c r="F241" s="896"/>
      <c r="G241" s="929"/>
      <c r="H241" s="896"/>
      <c r="I241" s="798"/>
      <c r="J241" s="798"/>
      <c r="K241" s="798"/>
      <c r="L241"/>
      <c r="M241"/>
      <c r="N241"/>
      <c r="O241"/>
      <c r="P241"/>
      <c r="Q241"/>
      <c r="R241"/>
      <c r="S241"/>
      <c r="T241" s="926">
        <f>T240+0.5</f>
        <v>13</v>
      </c>
      <c r="U241" s="1435">
        <f t="shared" si="102"/>
        <v>1.443</v>
      </c>
      <c r="V241" s="918">
        <f t="shared" si="100"/>
        <v>40.9083285</v>
      </c>
      <c r="W241" s="657"/>
      <c r="X241" s="646"/>
      <c r="Y241" s="646"/>
      <c r="Z241" s="646"/>
      <c r="AA241" s="646"/>
      <c r="AB241" s="646"/>
      <c r="AC241" s="646"/>
      <c r="AD241" s="646"/>
      <c r="AE241" s="646"/>
      <c r="AF241" s="646"/>
      <c r="AG241" s="646"/>
      <c r="AH241" s="646"/>
      <c r="AI241" s="646"/>
      <c r="AJ241" s="843"/>
      <c r="AK241" s="842"/>
      <c r="AL241" s="848"/>
    </row>
    <row r="242" spans="1:38" ht="13.5">
      <c r="A242" s="641"/>
      <c r="B242" s="641"/>
      <c r="C242" s="798"/>
      <c r="D242" s="896"/>
      <c r="E242" s="896"/>
      <c r="F242" s="896"/>
      <c r="G242" s="929"/>
      <c r="H242" s="896"/>
      <c r="I242" s="798"/>
      <c r="J242" s="798"/>
      <c r="K242" s="798"/>
      <c r="L242"/>
      <c r="M242"/>
      <c r="N242"/>
      <c r="O242"/>
      <c r="P242"/>
      <c r="Q242"/>
      <c r="R242"/>
      <c r="S242"/>
      <c r="T242" s="926">
        <f>T241+0.5</f>
        <v>13.5</v>
      </c>
      <c r="U242" s="1435">
        <f t="shared" si="102"/>
        <v>1.4985</v>
      </c>
      <c r="V242" s="918">
        <f t="shared" si="100"/>
        <v>42.481725749999995</v>
      </c>
      <c r="W242" s="657"/>
      <c r="X242" s="646"/>
      <c r="Y242" s="646"/>
      <c r="Z242" s="646"/>
      <c r="AA242" s="646"/>
      <c r="AB242" s="646"/>
      <c r="AC242" s="646"/>
      <c r="AD242" s="646"/>
      <c r="AE242" s="646"/>
      <c r="AF242" s="646"/>
      <c r="AG242" s="646"/>
      <c r="AH242" s="646"/>
      <c r="AI242" s="646"/>
      <c r="AJ242" s="843"/>
      <c r="AK242" s="842"/>
      <c r="AL242" s="848"/>
    </row>
    <row r="243" spans="1:38" ht="13.5">
      <c r="A243" s="641"/>
      <c r="B243" s="641"/>
      <c r="C243" s="798"/>
      <c r="D243" s="896"/>
      <c r="E243" s="896"/>
      <c r="F243" s="896"/>
      <c r="G243" s="929"/>
      <c r="H243" s="896"/>
      <c r="I243" s="798"/>
      <c r="J243" s="798"/>
      <c r="K243" s="798"/>
      <c r="L243" s="798"/>
      <c r="M243" s="798"/>
      <c r="N243" s="798"/>
      <c r="O243" s="896"/>
      <c r="P243" s="929"/>
      <c r="Q243" s="798"/>
      <c r="R243" s="798"/>
      <c r="S243" s="657"/>
      <c r="T243" s="926">
        <f t="shared" si="101"/>
        <v>14</v>
      </c>
      <c r="U243" s="1435">
        <f t="shared" si="102"/>
        <v>1.554</v>
      </c>
      <c r="V243" s="918">
        <f t="shared" si="100"/>
        <v>44.055123</v>
      </c>
      <c r="W243" s="657"/>
      <c r="X243" s="646"/>
      <c r="Y243" s="646"/>
      <c r="Z243" s="646"/>
      <c r="AA243" s="646"/>
      <c r="AB243" s="646"/>
      <c r="AC243" s="646"/>
      <c r="AD243" s="646"/>
      <c r="AE243" s="646"/>
      <c r="AF243" s="646"/>
      <c r="AG243" s="646"/>
      <c r="AH243" s="646"/>
      <c r="AI243" s="646"/>
      <c r="AJ243" s="843"/>
      <c r="AK243" s="842"/>
      <c r="AL243" s="848"/>
    </row>
    <row r="244" spans="1:38" ht="13.5">
      <c r="A244" s="641"/>
      <c r="B244" s="641"/>
      <c r="C244" s="798"/>
      <c r="D244" s="896"/>
      <c r="E244" s="896"/>
      <c r="F244" s="896"/>
      <c r="G244" s="929"/>
      <c r="H244" s="896"/>
      <c r="I244" s="798"/>
      <c r="J244" s="798"/>
      <c r="K244" s="798"/>
      <c r="L244" s="798"/>
      <c r="M244" s="798"/>
      <c r="N244" s="798"/>
      <c r="O244" s="896"/>
      <c r="P244" s="929"/>
      <c r="Q244" s="798"/>
      <c r="R244" s="798"/>
      <c r="S244" s="657"/>
      <c r="T244" s="926">
        <f t="shared" si="101"/>
        <v>14.5</v>
      </c>
      <c r="U244" s="1435">
        <f t="shared" si="102"/>
        <v>1.6095</v>
      </c>
      <c r="V244" s="918">
        <f t="shared" si="100"/>
        <v>45.628520249999994</v>
      </c>
      <c r="W244" s="657"/>
      <c r="X244" s="646"/>
      <c r="Y244" s="646"/>
      <c r="Z244" s="646"/>
      <c r="AA244" s="646"/>
      <c r="AB244" s="646"/>
      <c r="AC244" s="646"/>
      <c r="AD244" s="646"/>
      <c r="AE244" s="646"/>
      <c r="AF244" s="646"/>
      <c r="AG244" s="646"/>
      <c r="AH244" s="646"/>
      <c r="AI244" s="646"/>
      <c r="AJ244" s="843"/>
      <c r="AK244" s="842"/>
      <c r="AL244" s="848"/>
    </row>
    <row r="245" spans="1:38" ht="13.5">
      <c r="A245" s="641"/>
      <c r="B245" s="641"/>
      <c r="C245" s="798"/>
      <c r="D245" s="896"/>
      <c r="E245" s="896"/>
      <c r="F245" s="896"/>
      <c r="G245" s="929"/>
      <c r="H245" s="896"/>
      <c r="I245" s="798"/>
      <c r="J245" s="798"/>
      <c r="K245" s="798"/>
      <c r="L245" s="798"/>
      <c r="M245" s="798"/>
      <c r="N245" s="798"/>
      <c r="O245" s="896"/>
      <c r="P245" s="929"/>
      <c r="Q245" s="798"/>
      <c r="R245" s="798"/>
      <c r="S245" s="657"/>
      <c r="T245" s="926">
        <f t="shared" si="101"/>
        <v>15</v>
      </c>
      <c r="U245" s="1435">
        <f t="shared" si="102"/>
        <v>1.665</v>
      </c>
      <c r="V245" s="918">
        <f t="shared" si="100"/>
        <v>47.2019175</v>
      </c>
      <c r="W245" s="657"/>
      <c r="X245" s="646"/>
      <c r="Y245" s="646"/>
      <c r="Z245" s="646"/>
      <c r="AA245" s="646"/>
      <c r="AB245" s="646"/>
      <c r="AC245" s="646"/>
      <c r="AD245" s="646"/>
      <c r="AE245" s="646"/>
      <c r="AF245" s="646"/>
      <c r="AG245" s="646"/>
      <c r="AH245" s="646"/>
      <c r="AI245" s="646"/>
      <c r="AJ245" s="843"/>
      <c r="AK245" s="842"/>
      <c r="AL245" s="848"/>
    </row>
    <row r="246" spans="1:38" ht="13.5">
      <c r="A246" s="641"/>
      <c r="B246" s="641"/>
      <c r="C246" s="798"/>
      <c r="D246" s="896"/>
      <c r="E246" s="896"/>
      <c r="F246" s="896"/>
      <c r="G246" s="929"/>
      <c r="H246" s="896"/>
      <c r="I246" s="798"/>
      <c r="J246" s="798"/>
      <c r="K246" s="798"/>
      <c r="L246" s="798"/>
      <c r="M246" s="798"/>
      <c r="N246" s="798"/>
      <c r="O246" s="896"/>
      <c r="P246" s="929"/>
      <c r="Q246" s="798"/>
      <c r="R246" s="798"/>
      <c r="S246" s="657"/>
      <c r="T246" s="926">
        <f t="shared" si="101"/>
        <v>15.5</v>
      </c>
      <c r="U246" s="1435">
        <f t="shared" si="102"/>
        <v>1.7205</v>
      </c>
      <c r="V246" s="918">
        <f t="shared" si="100"/>
        <v>48.77531474999999</v>
      </c>
      <c r="W246" s="657"/>
      <c r="X246" s="646"/>
      <c r="Y246" s="646"/>
      <c r="Z246" s="646"/>
      <c r="AA246" s="646"/>
      <c r="AB246" s="646"/>
      <c r="AC246" s="646"/>
      <c r="AD246" s="646"/>
      <c r="AE246" s="646"/>
      <c r="AF246" s="646"/>
      <c r="AG246" s="646"/>
      <c r="AH246" s="646"/>
      <c r="AI246" s="646"/>
      <c r="AJ246" s="843"/>
      <c r="AK246" s="842"/>
      <c r="AL246" s="848"/>
    </row>
    <row r="247" spans="1:38" ht="13.5">
      <c r="A247" s="641"/>
      <c r="B247" s="641"/>
      <c r="C247" s="798"/>
      <c r="D247" s="896"/>
      <c r="E247" s="896"/>
      <c r="F247" s="896"/>
      <c r="G247" s="929"/>
      <c r="H247" s="896"/>
      <c r="I247" s="798"/>
      <c r="J247" s="798"/>
      <c r="K247" s="798"/>
      <c r="L247" s="798"/>
      <c r="M247" s="798"/>
      <c r="N247" s="798"/>
      <c r="O247" s="896"/>
      <c r="P247" s="929"/>
      <c r="Q247" s="798"/>
      <c r="R247" s="798"/>
      <c r="S247" s="657"/>
      <c r="T247" s="926">
        <f t="shared" si="101"/>
        <v>16</v>
      </c>
      <c r="U247" s="1435">
        <f t="shared" si="102"/>
        <v>1.776</v>
      </c>
      <c r="V247" s="918">
        <f t="shared" si="100"/>
        <v>50.348712</v>
      </c>
      <c r="W247" s="657"/>
      <c r="X247" s="646"/>
      <c r="Y247" s="646"/>
      <c r="Z247" s="646"/>
      <c r="AA247" s="646"/>
      <c r="AB247" s="646"/>
      <c r="AC247" s="646"/>
      <c r="AD247" s="646"/>
      <c r="AE247" s="646"/>
      <c r="AF247" s="646"/>
      <c r="AG247" s="646"/>
      <c r="AH247" s="646"/>
      <c r="AI247" s="646"/>
      <c r="AJ247" s="843"/>
      <c r="AK247" s="842"/>
      <c r="AL247" s="848"/>
    </row>
    <row r="248" spans="1:38" ht="13.5">
      <c r="A248" s="641"/>
      <c r="B248" s="641"/>
      <c r="C248" s="798"/>
      <c r="D248" s="896"/>
      <c r="E248" s="896"/>
      <c r="F248" s="896"/>
      <c r="G248" s="929"/>
      <c r="H248" s="896"/>
      <c r="I248" s="798"/>
      <c r="J248" s="798"/>
      <c r="K248" s="798"/>
      <c r="L248" s="798"/>
      <c r="M248" s="798"/>
      <c r="N248" s="798"/>
      <c r="O248" s="896"/>
      <c r="P248" s="929"/>
      <c r="Q248" s="798"/>
      <c r="R248" s="798"/>
      <c r="S248" s="657"/>
      <c r="T248" s="926">
        <f t="shared" si="101"/>
        <v>16.5</v>
      </c>
      <c r="U248" s="1435">
        <f t="shared" si="102"/>
        <v>1.8315000000000001</v>
      </c>
      <c r="V248" s="918">
        <f t="shared" si="100"/>
        <v>51.92210925</v>
      </c>
      <c r="W248" s="657"/>
      <c r="X248" s="646"/>
      <c r="Y248" s="646"/>
      <c r="Z248" s="646"/>
      <c r="AA248" s="646"/>
      <c r="AB248" s="646"/>
      <c r="AC248" s="646"/>
      <c r="AD248" s="646"/>
      <c r="AE248" s="646"/>
      <c r="AF248" s="646"/>
      <c r="AG248" s="646"/>
      <c r="AH248" s="646"/>
      <c r="AI248" s="646"/>
      <c r="AJ248" s="843"/>
      <c r="AK248" s="842"/>
      <c r="AL248" s="848"/>
    </row>
    <row r="249" spans="1:38" ht="13.5">
      <c r="A249" s="641"/>
      <c r="B249" s="641"/>
      <c r="C249" s="798"/>
      <c r="D249" s="896"/>
      <c r="E249" s="896"/>
      <c r="F249" s="896"/>
      <c r="G249" s="929"/>
      <c r="H249" s="896"/>
      <c r="I249" s="798"/>
      <c r="J249" s="798"/>
      <c r="K249" s="798"/>
      <c r="L249" s="798"/>
      <c r="M249" s="798"/>
      <c r="N249" s="798"/>
      <c r="O249" s="896"/>
      <c r="P249" s="929"/>
      <c r="Q249" s="798"/>
      <c r="R249" s="798"/>
      <c r="S249" s="657"/>
      <c r="T249" s="926">
        <f t="shared" si="101"/>
        <v>17</v>
      </c>
      <c r="U249" s="1435">
        <f t="shared" si="102"/>
        <v>1.887</v>
      </c>
      <c r="V249" s="918">
        <f t="shared" si="100"/>
        <v>53.4955065</v>
      </c>
      <c r="W249" s="657"/>
      <c r="X249" s="646"/>
      <c r="Y249" s="646"/>
      <c r="Z249" s="646"/>
      <c r="AA249" s="646"/>
      <c r="AB249" s="646"/>
      <c r="AC249" s="646"/>
      <c r="AD249" s="646"/>
      <c r="AE249" s="646"/>
      <c r="AF249" s="646"/>
      <c r="AG249" s="646"/>
      <c r="AH249" s="646"/>
      <c r="AI249" s="646"/>
      <c r="AJ249" s="843"/>
      <c r="AK249" s="842"/>
      <c r="AL249" s="848"/>
    </row>
    <row r="250" spans="1:38" ht="13.5">
      <c r="A250" s="641"/>
      <c r="B250" s="641"/>
      <c r="C250" s="798"/>
      <c r="D250" s="896"/>
      <c r="E250" s="896"/>
      <c r="F250" s="896"/>
      <c r="G250" s="929"/>
      <c r="H250" s="896"/>
      <c r="I250" s="798"/>
      <c r="J250" s="798"/>
      <c r="K250" s="798"/>
      <c r="L250" s="798"/>
      <c r="M250" s="798"/>
      <c r="N250" s="798"/>
      <c r="O250" s="896"/>
      <c r="P250" s="929"/>
      <c r="Q250" s="798"/>
      <c r="R250" s="798"/>
      <c r="S250" s="657"/>
      <c r="T250" s="926">
        <f t="shared" si="101"/>
        <v>17.5</v>
      </c>
      <c r="U250" s="1435">
        <f t="shared" si="102"/>
        <v>1.9425000000000001</v>
      </c>
      <c r="V250" s="918">
        <f t="shared" si="100"/>
        <v>55.068903750000004</v>
      </c>
      <c r="W250" s="657"/>
      <c r="X250" s="646"/>
      <c r="Y250" s="646"/>
      <c r="Z250" s="646"/>
      <c r="AA250" s="646"/>
      <c r="AB250" s="646"/>
      <c r="AC250" s="646"/>
      <c r="AD250" s="646"/>
      <c r="AE250" s="646"/>
      <c r="AF250" s="646"/>
      <c r="AG250" s="646"/>
      <c r="AH250" s="646"/>
      <c r="AI250" s="646"/>
      <c r="AJ250" s="843"/>
      <c r="AK250" s="842"/>
      <c r="AL250" s="848"/>
    </row>
    <row r="251" spans="1:38" ht="13.5">
      <c r="A251" s="641"/>
      <c r="B251" s="641"/>
      <c r="C251" s="798"/>
      <c r="D251" s="896"/>
      <c r="E251" s="896"/>
      <c r="F251" s="896"/>
      <c r="G251" s="929"/>
      <c r="H251" s="896"/>
      <c r="I251" s="798"/>
      <c r="J251" s="798"/>
      <c r="K251" s="798"/>
      <c r="L251" s="798"/>
      <c r="M251" s="798"/>
      <c r="N251" s="798"/>
      <c r="O251" s="896"/>
      <c r="P251" s="929"/>
      <c r="Q251" s="798"/>
      <c r="R251" s="798"/>
      <c r="S251" s="647"/>
      <c r="T251" s="926">
        <f t="shared" si="101"/>
        <v>18</v>
      </c>
      <c r="U251" s="1435">
        <f t="shared" si="102"/>
        <v>1.998</v>
      </c>
      <c r="V251" s="918">
        <f t="shared" si="100"/>
        <v>56.642300999999996</v>
      </c>
      <c r="W251" s="657"/>
      <c r="X251" s="646"/>
      <c r="Y251" s="646"/>
      <c r="Z251" s="646"/>
      <c r="AA251" s="646"/>
      <c r="AB251" s="646"/>
      <c r="AC251" s="646"/>
      <c r="AD251" s="646"/>
      <c r="AE251" s="646"/>
      <c r="AF251" s="646"/>
      <c r="AG251" s="646"/>
      <c r="AH251" s="646"/>
      <c r="AI251" s="646"/>
      <c r="AJ251" s="843"/>
      <c r="AK251" s="842"/>
      <c r="AL251" s="848"/>
    </row>
    <row r="252" spans="1:38" ht="13.5">
      <c r="A252" s="641"/>
      <c r="B252" s="641"/>
      <c r="C252" s="798"/>
      <c r="D252" s="896"/>
      <c r="E252" s="896"/>
      <c r="F252" s="896"/>
      <c r="G252" s="929"/>
      <c r="H252" s="896"/>
      <c r="I252" s="798"/>
      <c r="J252" s="798"/>
      <c r="K252" s="798"/>
      <c r="L252" s="798"/>
      <c r="M252" s="798"/>
      <c r="N252" s="798"/>
      <c r="O252" s="896"/>
      <c r="P252" s="929"/>
      <c r="Q252" s="798"/>
      <c r="R252" s="798"/>
      <c r="S252" s="647"/>
      <c r="T252" s="926">
        <f t="shared" si="101"/>
        <v>18.5</v>
      </c>
      <c r="U252" s="1435">
        <f t="shared" si="102"/>
        <v>2.0535</v>
      </c>
      <c r="V252" s="918">
        <f t="shared" si="100"/>
        <v>58.21569825</v>
      </c>
      <c r="W252" s="657"/>
      <c r="X252" s="646"/>
      <c r="Y252" s="646"/>
      <c r="Z252" s="646"/>
      <c r="AA252" s="646"/>
      <c r="AB252" s="646"/>
      <c r="AC252" s="646"/>
      <c r="AD252" s="646"/>
      <c r="AE252" s="646"/>
      <c r="AF252" s="646"/>
      <c r="AG252" s="646"/>
      <c r="AH252" s="646"/>
      <c r="AI252" s="646"/>
      <c r="AJ252" s="843"/>
      <c r="AK252" s="842"/>
      <c r="AL252" s="848"/>
    </row>
    <row r="253" spans="1:38" ht="13.5">
      <c r="A253" s="641"/>
      <c r="B253" s="641"/>
      <c r="C253" s="798"/>
      <c r="D253" s="896"/>
      <c r="E253" s="896"/>
      <c r="F253" s="896"/>
      <c r="G253" s="929"/>
      <c r="H253" s="896"/>
      <c r="I253" s="798"/>
      <c r="J253" s="798"/>
      <c r="K253" s="798"/>
      <c r="L253" s="798"/>
      <c r="M253" s="798"/>
      <c r="N253" s="798"/>
      <c r="O253" s="896"/>
      <c r="P253" s="929"/>
      <c r="Q253" s="798"/>
      <c r="R253" s="798"/>
      <c r="S253" s="647"/>
      <c r="T253" s="926">
        <f t="shared" si="101"/>
        <v>19</v>
      </c>
      <c r="U253" s="1435">
        <f t="shared" si="102"/>
        <v>2.109</v>
      </c>
      <c r="V253" s="918">
        <f t="shared" si="100"/>
        <v>59.789095499999995</v>
      </c>
      <c r="W253" s="657"/>
      <c r="X253" s="646"/>
      <c r="Y253" s="646"/>
      <c r="Z253" s="646"/>
      <c r="AA253" s="646"/>
      <c r="AB253" s="646"/>
      <c r="AC253" s="646"/>
      <c r="AD253" s="646"/>
      <c r="AE253" s="646"/>
      <c r="AF253" s="646"/>
      <c r="AG253" s="646"/>
      <c r="AH253" s="646"/>
      <c r="AI253" s="646"/>
      <c r="AJ253" s="843"/>
      <c r="AK253" s="842"/>
      <c r="AL253" s="848"/>
    </row>
    <row r="254" spans="1:38" ht="13.5">
      <c r="A254" s="641"/>
      <c r="B254" s="641"/>
      <c r="C254" s="798"/>
      <c r="D254" s="896"/>
      <c r="E254" s="896"/>
      <c r="F254" s="896"/>
      <c r="G254" s="929"/>
      <c r="H254" s="896"/>
      <c r="I254" s="798"/>
      <c r="J254" s="798"/>
      <c r="K254" s="798"/>
      <c r="L254" s="798"/>
      <c r="M254" s="798"/>
      <c r="N254" s="798"/>
      <c r="O254" s="896"/>
      <c r="P254" s="929"/>
      <c r="Q254" s="798"/>
      <c r="R254" s="798"/>
      <c r="S254" s="647"/>
      <c r="T254" s="926">
        <f t="shared" si="101"/>
        <v>19.5</v>
      </c>
      <c r="U254" s="1435">
        <f t="shared" si="102"/>
        <v>2.1645</v>
      </c>
      <c r="V254" s="918">
        <f t="shared" si="100"/>
        <v>61.362492749999994</v>
      </c>
      <c r="W254" s="657"/>
      <c r="X254" s="646"/>
      <c r="Y254" s="646"/>
      <c r="Z254" s="646"/>
      <c r="AA254" s="646"/>
      <c r="AB254" s="646"/>
      <c r="AC254" s="646"/>
      <c r="AD254" s="646"/>
      <c r="AE254" s="646"/>
      <c r="AF254" s="646"/>
      <c r="AG254" s="646"/>
      <c r="AH254" s="646"/>
      <c r="AI254" s="646"/>
      <c r="AJ254" s="843"/>
      <c r="AK254" s="842"/>
      <c r="AL254" s="848"/>
    </row>
    <row r="255" spans="1:38" ht="13.5">
      <c r="A255" s="641"/>
      <c r="B255" s="641"/>
      <c r="C255" s="859"/>
      <c r="D255" s="859"/>
      <c r="E255" s="859"/>
      <c r="F255" s="859"/>
      <c r="G255" s="859"/>
      <c r="H255" s="859"/>
      <c r="I255" s="936"/>
      <c r="J255" s="877"/>
      <c r="K255" s="937"/>
      <c r="L255" s="657"/>
      <c r="M255" s="657"/>
      <c r="N255" s="641"/>
      <c r="O255" s="937"/>
      <c r="P255" s="936"/>
      <c r="Q255" s="936"/>
      <c r="R255" s="657"/>
      <c r="S255" s="657"/>
      <c r="T255" s="926">
        <f t="shared" si="101"/>
        <v>20</v>
      </c>
      <c r="U255" s="1435">
        <f t="shared" si="102"/>
        <v>2.22</v>
      </c>
      <c r="V255" s="918">
        <f t="shared" si="100"/>
        <v>62.93589</v>
      </c>
      <c r="W255" s="936"/>
      <c r="X255" s="646"/>
      <c r="Y255" s="646"/>
      <c r="Z255" s="646"/>
      <c r="AA255" s="646"/>
      <c r="AB255" s="646"/>
      <c r="AC255" s="646"/>
      <c r="AD255" s="646"/>
      <c r="AE255" s="646"/>
      <c r="AF255" s="646"/>
      <c r="AG255" s="646"/>
      <c r="AH255" s="646"/>
      <c r="AI255" s="646"/>
      <c r="AJ255" s="843"/>
      <c r="AK255" s="842"/>
      <c r="AL255" s="848"/>
    </row>
    <row r="256" spans="1:38" ht="13.5">
      <c r="A256" s="641"/>
      <c r="B256" s="641"/>
      <c r="C256" s="859"/>
      <c r="D256" s="859"/>
      <c r="E256" s="859"/>
      <c r="F256" s="859"/>
      <c r="G256" s="859"/>
      <c r="H256" s="859"/>
      <c r="I256" s="936"/>
      <c r="J256" s="877"/>
      <c r="K256" s="937"/>
      <c r="L256" s="657"/>
      <c r="M256" s="657"/>
      <c r="N256" s="641"/>
      <c r="O256" s="937"/>
      <c r="P256" s="936"/>
      <c r="Q256" s="936"/>
      <c r="R256" s="657"/>
      <c r="S256" s="657"/>
      <c r="T256" s="926">
        <f t="shared" si="101"/>
        <v>20.5</v>
      </c>
      <c r="U256" s="1435">
        <f t="shared" si="102"/>
        <v>2.2755</v>
      </c>
      <c r="V256" s="918">
        <f t="shared" si="100"/>
        <v>64.50928725</v>
      </c>
      <c r="W256" s="936"/>
      <c r="X256" s="646"/>
      <c r="Y256" s="646"/>
      <c r="Z256" s="646"/>
      <c r="AA256" s="646"/>
      <c r="AB256" s="646"/>
      <c r="AC256" s="646"/>
      <c r="AD256" s="646"/>
      <c r="AE256" s="646"/>
      <c r="AF256" s="646"/>
      <c r="AG256" s="646"/>
      <c r="AH256" s="646"/>
      <c r="AI256" s="646"/>
      <c r="AJ256" s="843"/>
      <c r="AK256" s="842"/>
      <c r="AL256" s="848"/>
    </row>
    <row r="257" spans="1:38" ht="13.5">
      <c r="A257" s="641"/>
      <c r="B257" s="641"/>
      <c r="C257" s="859"/>
      <c r="D257" s="859"/>
      <c r="E257" s="859"/>
      <c r="F257" s="859"/>
      <c r="G257" s="859"/>
      <c r="H257" s="859"/>
      <c r="I257" s="936"/>
      <c r="J257" s="877"/>
      <c r="K257" s="937"/>
      <c r="L257" s="657"/>
      <c r="M257" s="657"/>
      <c r="N257" s="641"/>
      <c r="O257" s="937"/>
      <c r="P257" s="936"/>
      <c r="Q257" s="936"/>
      <c r="R257" s="657"/>
      <c r="S257" s="657"/>
      <c r="T257" s="1437">
        <f>T256+0.5</f>
        <v>21</v>
      </c>
      <c r="U257" s="1435">
        <f>T$198*T257</f>
        <v>2.331</v>
      </c>
      <c r="V257" s="918">
        <f t="shared" si="100"/>
        <v>66.0826845</v>
      </c>
      <c r="W257" s="936"/>
      <c r="X257" s="646"/>
      <c r="Y257" s="646"/>
      <c r="Z257" s="646"/>
      <c r="AA257" s="646"/>
      <c r="AB257" s="646"/>
      <c r="AC257" s="646"/>
      <c r="AD257" s="646"/>
      <c r="AE257" s="646"/>
      <c r="AF257" s="646"/>
      <c r="AG257" s="646"/>
      <c r="AH257" s="646"/>
      <c r="AI257" s="646"/>
      <c r="AJ257" s="843"/>
      <c r="AK257" s="842"/>
      <c r="AL257" s="848"/>
    </row>
    <row r="258" spans="1:38" ht="13.5">
      <c r="A258" s="641"/>
      <c r="B258" s="641"/>
      <c r="C258" s="859"/>
      <c r="D258" s="859"/>
      <c r="E258" s="859"/>
      <c r="F258" s="859"/>
      <c r="G258" s="859"/>
      <c r="H258" s="859"/>
      <c r="I258" s="936"/>
      <c r="J258" s="877"/>
      <c r="K258" s="937"/>
      <c r="L258" s="657"/>
      <c r="M258" s="657"/>
      <c r="N258" s="641"/>
      <c r="O258" s="937"/>
      <c r="P258" s="936"/>
      <c r="Q258" s="938"/>
      <c r="R258" s="658"/>
      <c r="S258" s="657"/>
      <c r="T258" s="657"/>
      <c r="U258" s="657"/>
      <c r="V258" s="657"/>
      <c r="W258" s="936"/>
      <c r="X258" s="646"/>
      <c r="Y258" s="646"/>
      <c r="Z258" s="646"/>
      <c r="AA258" s="646"/>
      <c r="AB258" s="646"/>
      <c r="AC258" s="646"/>
      <c r="AD258" s="646"/>
      <c r="AE258" s="646"/>
      <c r="AF258" s="646"/>
      <c r="AG258" s="646"/>
      <c r="AH258" s="646"/>
      <c r="AI258" s="646"/>
      <c r="AJ258" s="843"/>
      <c r="AK258" s="842"/>
      <c r="AL258" s="848"/>
    </row>
    <row r="259" spans="1:38" ht="13.5">
      <c r="A259" s="641"/>
      <c r="B259" s="2919" t="s">
        <v>964</v>
      </c>
      <c r="C259" s="2919"/>
      <c r="D259" s="1719"/>
      <c r="E259" s="1719"/>
      <c r="F259" s="1719"/>
      <c r="G259" s="1719"/>
      <c r="H259" s="1719"/>
      <c r="I259" s="1719"/>
      <c r="J259" s="2942" t="s">
        <v>965</v>
      </c>
      <c r="K259" s="2942"/>
      <c r="L259" s="2942"/>
      <c r="M259" s="2942"/>
      <c r="N259" s="798"/>
      <c r="O259" s="2944" t="s">
        <v>966</v>
      </c>
      <c r="P259" s="2944"/>
      <c r="Q259" s="2944"/>
      <c r="R259" s="2944"/>
      <c r="S259" s="798"/>
      <c r="T259" s="798"/>
      <c r="U259" s="798"/>
      <c r="V259" s="798"/>
      <c r="W259" s="862"/>
      <c r="X259" s="646"/>
      <c r="Y259" s="646"/>
      <c r="Z259" s="646"/>
      <c r="AA259" s="646"/>
      <c r="AB259" s="646"/>
      <c r="AC259" s="646"/>
      <c r="AD259" s="646"/>
      <c r="AE259" s="646"/>
      <c r="AF259" s="646"/>
      <c r="AG259" s="646"/>
      <c r="AH259" s="646"/>
      <c r="AI259" s="646"/>
      <c r="AJ259" s="652"/>
      <c r="AK259" s="652"/>
      <c r="AL259" s="653"/>
    </row>
    <row r="260" spans="1:38" ht="13.5">
      <c r="A260" s="641"/>
      <c r="B260" s="798"/>
      <c r="C260" s="2906" t="s">
        <v>967</v>
      </c>
      <c r="D260" s="2906"/>
      <c r="E260" s="2906"/>
      <c r="F260" s="2906"/>
      <c r="G260" s="2906"/>
      <c r="H260" s="2906"/>
      <c r="I260" s="2922"/>
      <c r="J260" s="1560" t="s">
        <v>968</v>
      </c>
      <c r="K260" s="2071" t="s">
        <v>969</v>
      </c>
      <c r="L260" s="2071" t="s">
        <v>970</v>
      </c>
      <c r="M260" s="2071" t="s">
        <v>971</v>
      </c>
      <c r="N260" s="1031"/>
      <c r="O260" s="1031"/>
      <c r="P260" s="2072" t="s">
        <v>968</v>
      </c>
      <c r="Q260" s="2065" t="s">
        <v>969</v>
      </c>
      <c r="R260" s="2073" t="s">
        <v>970</v>
      </c>
      <c r="S260" s="925"/>
      <c r="T260" s="790"/>
      <c r="U260" s="790"/>
      <c r="V260" s="790"/>
      <c r="W260" s="657"/>
      <c r="X260" s="646"/>
      <c r="Y260" s="784"/>
      <c r="Z260" s="646"/>
      <c r="AA260" s="646"/>
      <c r="AB260" s="646"/>
      <c r="AC260" s="646"/>
      <c r="AD260" s="646"/>
      <c r="AE260" s="646"/>
      <c r="AF260" s="646"/>
      <c r="AG260" s="646"/>
      <c r="AH260" s="646"/>
      <c r="AI260" s="646"/>
      <c r="AJ260" s="652"/>
      <c r="AK260" s="652"/>
      <c r="AL260" s="653"/>
    </row>
    <row r="261" spans="1:38" ht="13.5">
      <c r="A261" s="641"/>
      <c r="B261" s="798"/>
      <c r="C261" s="2906" t="s">
        <v>972</v>
      </c>
      <c r="D261" s="2906"/>
      <c r="E261" s="2906"/>
      <c r="F261" s="2906"/>
      <c r="G261" s="2906"/>
      <c r="H261" s="2906"/>
      <c r="I261" s="2922"/>
      <c r="J261" s="2069" t="s">
        <v>290</v>
      </c>
      <c r="K261" s="2069" t="s">
        <v>306</v>
      </c>
      <c r="L261" s="2069" t="s">
        <v>306</v>
      </c>
      <c r="M261" s="2070"/>
      <c r="N261" s="790"/>
      <c r="O261" s="792"/>
      <c r="P261" s="2074" t="s">
        <v>290</v>
      </c>
      <c r="Q261" s="2075" t="s">
        <v>306</v>
      </c>
      <c r="R261" s="2076" t="s">
        <v>306</v>
      </c>
      <c r="S261" s="925"/>
      <c r="T261" s="790"/>
      <c r="U261" s="790"/>
      <c r="V261" s="790"/>
      <c r="W261" s="641"/>
      <c r="X261" s="940"/>
      <c r="Y261" s="940"/>
      <c r="Z261" s="940"/>
      <c r="AA261" s="940"/>
      <c r="AB261" s="940"/>
      <c r="AC261" s="940"/>
      <c r="AD261" s="940"/>
      <c r="AE261" s="940"/>
      <c r="AF261" s="940"/>
      <c r="AG261" s="940"/>
      <c r="AH261" s="940"/>
      <c r="AI261" s="940"/>
      <c r="AJ261" s="652"/>
      <c r="AK261" s="652"/>
      <c r="AL261" s="653"/>
    </row>
    <row r="262" spans="1:38" ht="13.5">
      <c r="A262" s="641"/>
      <c r="B262" s="798"/>
      <c r="C262" s="2906" t="s">
        <v>973</v>
      </c>
      <c r="D262" s="2915"/>
      <c r="E262" s="2915"/>
      <c r="F262" s="2915"/>
      <c r="G262" s="2915"/>
      <c r="H262" s="2915"/>
      <c r="I262" s="2916"/>
      <c r="J262" s="1720">
        <v>624</v>
      </c>
      <c r="K262" s="1721">
        <v>220</v>
      </c>
      <c r="L262" s="1722">
        <f>K262+(0.58*J262)</f>
        <v>581.92</v>
      </c>
      <c r="M262" s="1723">
        <f>1000+375*J262/L262</f>
        <v>1402.117129502337</v>
      </c>
      <c r="N262" s="790"/>
      <c r="O262" s="792"/>
      <c r="P262" s="1720">
        <v>590</v>
      </c>
      <c r="Q262" s="1722">
        <f>0.671*P262</f>
        <v>395.89000000000004</v>
      </c>
      <c r="R262" s="1722">
        <f>Q262+(0.58*P262)</f>
        <v>738.09</v>
      </c>
      <c r="S262" s="925"/>
      <c r="T262" s="790"/>
      <c r="U262" s="790"/>
      <c r="V262" s="790"/>
      <c r="W262" s="657"/>
      <c r="X262" s="940"/>
      <c r="Y262" s="940"/>
      <c r="Z262" s="940"/>
      <c r="AA262" s="940"/>
      <c r="AB262" s="940"/>
      <c r="AC262" s="940"/>
      <c r="AD262" s="940"/>
      <c r="AE262" s="940"/>
      <c r="AF262" s="940"/>
      <c r="AG262" s="940"/>
      <c r="AH262" s="940"/>
      <c r="AI262" s="940"/>
      <c r="AJ262" s="652"/>
      <c r="AK262" s="652"/>
      <c r="AL262" s="653"/>
    </row>
    <row r="263" spans="1:38" ht="13.5">
      <c r="A263" s="641"/>
      <c r="B263" s="798"/>
      <c r="C263" s="797"/>
      <c r="D263" s="1719"/>
      <c r="E263" s="1719"/>
      <c r="F263" s="1719"/>
      <c r="G263" s="1719"/>
      <c r="H263" s="1719"/>
      <c r="I263" s="1719"/>
      <c r="J263" s="1719"/>
      <c r="K263" s="1719"/>
      <c r="L263" s="1719"/>
      <c r="M263" s="1719"/>
      <c r="N263" s="1719"/>
      <c r="O263" s="1719"/>
      <c r="P263" s="1719"/>
      <c r="Q263" s="1719"/>
      <c r="R263" s="1719"/>
      <c r="S263" s="925"/>
      <c r="T263" s="790"/>
      <c r="U263" s="790"/>
      <c r="V263" s="790"/>
      <c r="W263" s="657"/>
      <c r="X263" s="940"/>
      <c r="Y263" s="940"/>
      <c r="Z263" s="940"/>
      <c r="AA263" s="940"/>
      <c r="AB263" s="940"/>
      <c r="AC263" s="940"/>
      <c r="AD263" s="940"/>
      <c r="AE263" s="940"/>
      <c r="AF263" s="940"/>
      <c r="AG263" s="940"/>
      <c r="AH263" s="940"/>
      <c r="AI263" s="940"/>
      <c r="AJ263" s="652"/>
      <c r="AK263" s="652"/>
      <c r="AL263" s="653"/>
    </row>
    <row r="264" spans="1:38" ht="13.5">
      <c r="A264" s="641"/>
      <c r="B264" s="798"/>
      <c r="C264" s="1724"/>
      <c r="D264" s="1724"/>
      <c r="E264" s="1724"/>
      <c r="F264" s="1724"/>
      <c r="G264" s="1724"/>
      <c r="H264" s="1724"/>
      <c r="I264" s="1724"/>
      <c r="J264" s="658"/>
      <c r="K264" s="658"/>
      <c r="L264" s="1725"/>
      <c r="M264" s="658"/>
      <c r="N264" s="658"/>
      <c r="O264" s="658"/>
      <c r="P264" s="658"/>
      <c r="Q264" s="925"/>
      <c r="R264" s="925"/>
      <c r="S264" s="925"/>
      <c r="T264" s="790"/>
      <c r="U264" s="790"/>
      <c r="V264" s="790"/>
      <c r="W264" s="657"/>
      <c r="X264" s="940"/>
      <c r="Y264" s="940"/>
      <c r="Z264" s="940"/>
      <c r="AA264" s="940"/>
      <c r="AB264" s="940"/>
      <c r="AC264" s="940"/>
      <c r="AD264" s="940"/>
      <c r="AE264" s="940"/>
      <c r="AF264" s="940"/>
      <c r="AG264" s="940"/>
      <c r="AH264" s="940"/>
      <c r="AI264" s="940"/>
      <c r="AJ264" s="652"/>
      <c r="AK264" s="652"/>
      <c r="AL264" s="653"/>
    </row>
    <row r="265" spans="1:38" ht="13.5">
      <c r="A265" s="641"/>
      <c r="B265" s="3015" t="s">
        <v>974</v>
      </c>
      <c r="C265" s="3016"/>
      <c r="D265" s="1726"/>
      <c r="E265" s="1726"/>
      <c r="F265" s="1726"/>
      <c r="G265" s="1726"/>
      <c r="H265" s="1726"/>
      <c r="I265" s="1726"/>
      <c r="J265" s="1727"/>
      <c r="K265" s="941"/>
      <c r="L265" s="1728"/>
      <c r="M265" s="925"/>
      <c r="N265" s="1729"/>
      <c r="O265" s="1769"/>
      <c r="P265" s="658"/>
      <c r="Q265" s="925"/>
      <c r="R265" s="925"/>
      <c r="S265" s="925"/>
      <c r="T265" s="790"/>
      <c r="U265" s="790"/>
      <c r="V265" s="790"/>
      <c r="W265" s="878"/>
      <c r="X265" s="940"/>
      <c r="Y265" s="940"/>
      <c r="Z265" s="940"/>
      <c r="AA265" s="940"/>
      <c r="AB265" s="940"/>
      <c r="AC265" s="940"/>
      <c r="AD265" s="940"/>
      <c r="AE265" s="940"/>
      <c r="AF265" s="940"/>
      <c r="AG265" s="940"/>
      <c r="AH265" s="940"/>
      <c r="AI265" s="940"/>
      <c r="AJ265" s="942" t="s">
        <v>653</v>
      </c>
      <c r="AK265" s="841"/>
      <c r="AL265" s="841"/>
    </row>
    <row r="266" spans="1:38" ht="13.5">
      <c r="A266" s="641"/>
      <c r="B266" s="798"/>
      <c r="C266" s="2913" t="s">
        <v>1093</v>
      </c>
      <c r="D266" s="2914"/>
      <c r="E266" s="2914"/>
      <c r="F266" s="2914"/>
      <c r="G266" s="2914"/>
      <c r="H266" s="2914"/>
      <c r="I266" s="2914"/>
      <c r="J266" s="1727"/>
      <c r="K266" s="941"/>
      <c r="L266" s="1730"/>
      <c r="M266" s="1730"/>
      <c r="N266" s="1730"/>
      <c r="O266" s="790"/>
      <c r="P266" s="658"/>
      <c r="Q266" s="925"/>
      <c r="R266" s="925"/>
      <c r="S266" s="925"/>
      <c r="T266" s="925"/>
      <c r="U266" s="925"/>
      <c r="V266" s="925"/>
      <c r="W266" s="657"/>
      <c r="X266" s="940"/>
      <c r="Y266" s="940"/>
      <c r="Z266" s="940"/>
      <c r="AA266" s="940"/>
      <c r="AB266" s="940"/>
      <c r="AC266" s="940"/>
      <c r="AD266" s="940"/>
      <c r="AE266" s="940"/>
      <c r="AF266" s="940"/>
      <c r="AG266" s="940"/>
      <c r="AH266" s="940"/>
      <c r="AI266" s="940"/>
      <c r="AJ266" s="942"/>
      <c r="AK266" s="841"/>
      <c r="AL266" s="841"/>
    </row>
    <row r="267" spans="1:38" ht="13.5">
      <c r="A267" s="641"/>
      <c r="B267" s="798"/>
      <c r="C267" s="2914"/>
      <c r="D267" s="2914"/>
      <c r="E267" s="2914"/>
      <c r="F267" s="2914"/>
      <c r="G267" s="2914"/>
      <c r="H267" s="2914"/>
      <c r="I267" s="2914"/>
      <c r="J267" s="1731"/>
      <c r="K267" s="925"/>
      <c r="L267" s="1730"/>
      <c r="M267" s="1730"/>
      <c r="N267" s="1730"/>
      <c r="O267" s="1730"/>
      <c r="P267" s="658"/>
      <c r="Q267" s="925"/>
      <c r="R267" s="925"/>
      <c r="S267" s="925"/>
      <c r="T267" s="925"/>
      <c r="U267" s="790"/>
      <c r="V267" s="790"/>
      <c r="W267" s="657"/>
      <c r="X267" s="940"/>
      <c r="Y267" s="940"/>
      <c r="Z267" s="940"/>
      <c r="AA267" s="940"/>
      <c r="AB267" s="940"/>
      <c r="AC267" s="940"/>
      <c r="AD267" s="940"/>
      <c r="AE267" s="940"/>
      <c r="AF267" s="940"/>
      <c r="AG267" s="940"/>
      <c r="AH267" s="940"/>
      <c r="AI267" s="940"/>
      <c r="AJ267" s="943"/>
      <c r="AK267" s="652"/>
      <c r="AL267" s="653"/>
    </row>
    <row r="268" spans="1:38" ht="13.5">
      <c r="A268" s="641"/>
      <c r="B268" s="798"/>
      <c r="C268" s="798"/>
      <c r="D268" s="798"/>
      <c r="E268" s="798"/>
      <c r="F268" s="798"/>
      <c r="G268" s="798"/>
      <c r="H268" s="798"/>
      <c r="I268" s="798"/>
      <c r="J268" s="925"/>
      <c r="K268" s="925"/>
      <c r="L268" s="1730"/>
      <c r="M268" s="1730"/>
      <c r="N268" s="1732"/>
      <c r="O268" s="1732"/>
      <c r="P268" s="658"/>
      <c r="Q268" s="925"/>
      <c r="R268" s="925"/>
      <c r="S268" s="925"/>
      <c r="T268" s="925"/>
      <c r="U268" s="790"/>
      <c r="V268" s="790"/>
      <c r="W268" s="860"/>
      <c r="X268" s="940"/>
      <c r="Y268" s="940"/>
      <c r="Z268" s="940"/>
      <c r="AA268" s="940"/>
      <c r="AB268" s="940"/>
      <c r="AC268" s="940"/>
      <c r="AD268" s="940"/>
      <c r="AE268" s="940"/>
      <c r="AF268" s="940"/>
      <c r="AG268" s="940"/>
      <c r="AH268" s="940"/>
      <c r="AI268" s="940"/>
      <c r="AJ268" s="943"/>
      <c r="AK268" s="652"/>
      <c r="AL268" s="653"/>
    </row>
    <row r="269" spans="1:38" ht="13.5">
      <c r="A269" s="641"/>
      <c r="B269" s="798"/>
      <c r="C269" s="944" t="s">
        <v>977</v>
      </c>
      <c r="D269" s="945">
        <v>40</v>
      </c>
      <c r="E269" s="798"/>
      <c r="F269" s="798"/>
      <c r="G269" s="2939" t="s">
        <v>943</v>
      </c>
      <c r="H269" s="2939"/>
      <c r="I269" s="2939"/>
      <c r="J269" s="2940"/>
      <c r="K269" s="2068" t="s">
        <v>999</v>
      </c>
      <c r="L269" s="2068" t="s">
        <v>1736</v>
      </c>
      <c r="M269" s="2068" t="s">
        <v>935</v>
      </c>
      <c r="N269" s="1031"/>
      <c r="O269" s="1031"/>
      <c r="P269" s="1031"/>
      <c r="Q269" s="1031"/>
      <c r="R269"/>
      <c r="S269" s="2941" t="s">
        <v>449</v>
      </c>
      <c r="T269" s="2941"/>
      <c r="U269" s="2941"/>
      <c r="V269" s="2941"/>
      <c r="W269" s="641"/>
      <c r="X269" s="940"/>
      <c r="Y269" s="940"/>
      <c r="Z269" s="940"/>
      <c r="AA269" s="940"/>
      <c r="AB269" s="940"/>
      <c r="AC269" s="940"/>
      <c r="AD269" s="940"/>
      <c r="AE269" s="940"/>
      <c r="AF269" s="940"/>
      <c r="AG269" s="940"/>
      <c r="AH269" s="940"/>
      <c r="AI269" s="940"/>
      <c r="AJ269" s="943"/>
      <c r="AK269" s="652"/>
      <c r="AL269" s="653"/>
    </row>
    <row r="270" spans="1:38" ht="13.5">
      <c r="A270" s="641"/>
      <c r="B270" s="798"/>
      <c r="C270" s="944" t="s">
        <v>981</v>
      </c>
      <c r="D270" s="945">
        <v>11.4</v>
      </c>
      <c r="E270" s="798"/>
      <c r="F270" s="798"/>
      <c r="G270" s="1737"/>
      <c r="H270" s="866"/>
      <c r="I270" s="946"/>
      <c r="J270" s="658"/>
      <c r="K270" s="1733">
        <f>L270*7/4</f>
        <v>122.5</v>
      </c>
      <c r="L270" s="1738">
        <v>70</v>
      </c>
      <c r="M270" s="1733">
        <f>L270*4/7</f>
        <v>40</v>
      </c>
      <c r="N270" s="1031"/>
      <c r="O270" s="1031"/>
      <c r="P270" s="1031"/>
      <c r="Q270" s="1031"/>
      <c r="R270" s="925"/>
      <c r="S270" s="2941"/>
      <c r="T270" s="2941"/>
      <c r="U270" s="2941"/>
      <c r="V270" s="2941"/>
      <c r="W270" s="657"/>
      <c r="X270" s="940"/>
      <c r="Y270" s="940"/>
      <c r="Z270" s="940"/>
      <c r="AA270" s="940"/>
      <c r="AB270" s="940"/>
      <c r="AC270" s="940"/>
      <c r="AD270" s="940"/>
      <c r="AE270" s="940"/>
      <c r="AF270" s="940"/>
      <c r="AG270" s="940"/>
      <c r="AH270" s="940"/>
      <c r="AI270" s="940"/>
      <c r="AJ270" s="943"/>
      <c r="AK270" s="652"/>
      <c r="AL270" s="653"/>
    </row>
    <row r="271" spans="1:38" ht="13.5">
      <c r="A271" s="641"/>
      <c r="B271" s="798"/>
      <c r="C271" s="944" t="s">
        <v>983</v>
      </c>
      <c r="D271" s="945">
        <v>30</v>
      </c>
      <c r="E271" s="798"/>
      <c r="F271" s="798"/>
      <c r="G271" s="946"/>
      <c r="H271" s="866"/>
      <c r="I271" s="946"/>
      <c r="J271" s="658"/>
      <c r="K271" s="925"/>
      <c r="L271" s="1730"/>
      <c r="M271" s="799"/>
      <c r="N271" s="1031"/>
      <c r="O271" s="1031"/>
      <c r="P271" s="1031"/>
      <c r="Q271" s="1031"/>
      <c r="R271" s="925"/>
      <c r="S271" s="2920" t="s">
        <v>988</v>
      </c>
      <c r="T271" s="2920"/>
      <c r="U271" s="2920"/>
      <c r="V271" s="1772">
        <v>1079</v>
      </c>
      <c r="W271" s="657"/>
      <c r="X271" s="940"/>
      <c r="Y271" s="940"/>
      <c r="Z271" s="940"/>
      <c r="AA271" s="940"/>
      <c r="AB271" s="940"/>
      <c r="AC271" s="940"/>
      <c r="AD271" s="940"/>
      <c r="AE271" s="940"/>
      <c r="AF271" s="940"/>
      <c r="AG271" s="940"/>
      <c r="AH271" s="940"/>
      <c r="AI271" s="940"/>
      <c r="AJ271" s="943"/>
      <c r="AK271" s="652"/>
      <c r="AL271" s="653"/>
    </row>
    <row r="272" spans="1:38" ht="13.5">
      <c r="A272" s="641"/>
      <c r="B272" s="798"/>
      <c r="C272" s="941" t="s">
        <v>985</v>
      </c>
      <c r="D272" s="945">
        <v>4.5</v>
      </c>
      <c r="E272" s="2912" t="str">
        <f>"litres or "&amp;FIXED(200*D272/SUM(D272:D274),0)&amp;"% wine"</f>
        <v>litres or 35% wine</v>
      </c>
      <c r="F272" s="2912"/>
      <c r="G272" s="2912"/>
      <c r="H272" s="1458"/>
      <c r="I272" s="1739"/>
      <c r="J272" s="657"/>
      <c r="K272" s="1733" t="s">
        <v>999</v>
      </c>
      <c r="L272" s="1734" t="s">
        <v>1737</v>
      </c>
      <c r="M272" s="1733" t="s">
        <v>935</v>
      </c>
      <c r="N272" s="1031"/>
      <c r="O272" s="1031"/>
      <c r="P272" s="1031"/>
      <c r="Q272" s="1031"/>
      <c r="R272" s="925"/>
      <c r="S272" s="2920" t="s">
        <v>989</v>
      </c>
      <c r="T272" s="2920"/>
      <c r="U272" s="2920"/>
      <c r="V272" s="1772">
        <v>994</v>
      </c>
      <c r="W272" s="657"/>
      <c r="X272" s="940"/>
      <c r="Y272" s="940"/>
      <c r="Z272" s="940"/>
      <c r="AA272" s="940"/>
      <c r="AB272" s="940"/>
      <c r="AC272" s="940"/>
      <c r="AD272" s="940"/>
      <c r="AE272" s="940"/>
      <c r="AF272" s="940"/>
      <c r="AG272" s="940"/>
      <c r="AH272" s="940"/>
      <c r="AI272" s="940"/>
      <c r="AJ272" s="943"/>
      <c r="AK272" s="652"/>
      <c r="AL272" s="653"/>
    </row>
    <row r="273" spans="1:38" ht="13.5">
      <c r="A273" s="641"/>
      <c r="B273" s="798"/>
      <c r="C273" s="941" t="s">
        <v>986</v>
      </c>
      <c r="D273" s="1714">
        <f>((D271-D270)/(D269-D271))*D272</f>
        <v>8.370000000000001</v>
      </c>
      <c r="E273" s="2912" t="str">
        <f>"litres or "&amp;FIXED(200*D273/SUM(D272:D274),0)&amp;"% spirit"</f>
        <v>litres or 65% spirit</v>
      </c>
      <c r="F273" s="2912"/>
      <c r="G273" s="2912"/>
      <c r="H273" s="1713"/>
      <c r="I273" s="1739"/>
      <c r="J273" s="657"/>
      <c r="K273" s="1733">
        <f>L273*2</f>
        <v>140</v>
      </c>
      <c r="L273" s="1738">
        <v>70</v>
      </c>
      <c r="M273" s="1733">
        <f>L273*0.5</f>
        <v>35</v>
      </c>
      <c r="N273" s="1031"/>
      <c r="O273" s="1031"/>
      <c r="P273" s="1031"/>
      <c r="Q273" s="1031"/>
      <c r="R273" s="1294"/>
      <c r="S273" s="2920" t="s">
        <v>990</v>
      </c>
      <c r="T273" s="2920"/>
      <c r="U273" s="2920"/>
      <c r="V273" s="1773">
        <f>(V271-V272)/(7.75-(3*(V271-1000)/800))</f>
        <v>11.4036558779138</v>
      </c>
      <c r="W273" s="657"/>
      <c r="X273" s="940"/>
      <c r="Y273" s="940"/>
      <c r="Z273" s="940"/>
      <c r="AA273" s="940"/>
      <c r="AB273" s="940"/>
      <c r="AC273" s="940"/>
      <c r="AD273" s="940"/>
      <c r="AE273" s="940"/>
      <c r="AF273" s="940"/>
      <c r="AG273" s="940"/>
      <c r="AH273" s="940"/>
      <c r="AI273" s="940"/>
      <c r="AJ273" s="943"/>
      <c r="AK273" s="652"/>
      <c r="AL273" s="653"/>
    </row>
    <row r="274" spans="1:38" ht="13.5">
      <c r="A274" s="641"/>
      <c r="B274" s="1286"/>
      <c r="C274" s="941" t="s">
        <v>987</v>
      </c>
      <c r="D274" s="1714">
        <f>D272+D273</f>
        <v>12.870000000000001</v>
      </c>
      <c r="E274" s="2890" t="str">
        <f>"litres or "&amp;FIXED(200*D274/SUM(D272:D274),0)&amp;"% total"</f>
        <v>litres or 100% total</v>
      </c>
      <c r="F274" s="2890"/>
      <c r="G274" s="2890"/>
      <c r="H274" s="1457"/>
      <c r="I274" s="1739"/>
      <c r="J274" s="657"/>
      <c r="K274" s="1740"/>
      <c r="L274" s="1730"/>
      <c r="M274" s="799"/>
      <c r="N274" s="1031"/>
      <c r="O274" s="1031"/>
      <c r="P274" s="1031"/>
      <c r="Q274" s="1031"/>
      <c r="R274" s="798"/>
      <c r="S274" s="2946" t="s">
        <v>945</v>
      </c>
      <c r="T274" s="2946"/>
      <c r="U274" s="2946"/>
      <c r="V274" s="2946"/>
      <c r="W274" s="657"/>
      <c r="X274" s="940"/>
      <c r="Y274" s="940"/>
      <c r="Z274" s="940"/>
      <c r="AA274" s="940"/>
      <c r="AB274" s="940"/>
      <c r="AC274" s="940"/>
      <c r="AD274" s="940"/>
      <c r="AE274" s="940"/>
      <c r="AF274" s="940"/>
      <c r="AG274" s="940"/>
      <c r="AH274" s="940"/>
      <c r="AI274" s="940"/>
      <c r="AJ274" s="943"/>
      <c r="AK274" s="652"/>
      <c r="AL274" s="653"/>
    </row>
    <row r="275" spans="1:38" ht="13.5">
      <c r="A275" s="949"/>
      <c r="B275" s="1740"/>
      <c r="C275" s="1740"/>
      <c r="D275" s="1740"/>
      <c r="E275" s="798"/>
      <c r="F275" s="798"/>
      <c r="G275" s="2893" t="s">
        <v>944</v>
      </c>
      <c r="H275" s="2893"/>
      <c r="I275" s="2893"/>
      <c r="J275" s="2894"/>
      <c r="K275" s="1741" t="s">
        <v>278</v>
      </c>
      <c r="L275" s="1741" t="s">
        <v>291</v>
      </c>
      <c r="M275" s="1741" t="s">
        <v>311</v>
      </c>
      <c r="N275" s="1031"/>
      <c r="O275" s="1031"/>
      <c r="P275" s="1031"/>
      <c r="Q275" s="1031"/>
      <c r="R275" s="1294"/>
      <c r="S275" s="2946"/>
      <c r="T275" s="2946"/>
      <c r="U275" s="2946"/>
      <c r="V275" s="2946"/>
      <c r="W275" s="657"/>
      <c r="X275" s="940"/>
      <c r="Y275" s="940"/>
      <c r="Z275" s="940"/>
      <c r="AA275" s="940"/>
      <c r="AB275" s="940"/>
      <c r="AC275" s="940"/>
      <c r="AD275" s="940"/>
      <c r="AE275" s="940"/>
      <c r="AF275" s="940"/>
      <c r="AG275" s="940"/>
      <c r="AH275" s="940"/>
      <c r="AI275" s="940"/>
      <c r="AJ275" s="943"/>
      <c r="AK275" s="652"/>
      <c r="AL275" s="653"/>
    </row>
    <row r="276" spans="1:38" ht="13.5">
      <c r="A276" s="949"/>
      <c r="B276" s="1740"/>
      <c r="C276" s="1740"/>
      <c r="D276" s="1740"/>
      <c r="E276" s="798"/>
      <c r="F276" s="798"/>
      <c r="G276" s="1740"/>
      <c r="H276" s="1740"/>
      <c r="I276" s="1740"/>
      <c r="J276" s="1740"/>
      <c r="K276" s="1742">
        <f>VLOOKUP(L276,'Beer Kit Calc''s Etc'!AE2:AF103,2)</f>
        <v>80.662</v>
      </c>
      <c r="L276" s="1756">
        <v>100</v>
      </c>
      <c r="M276" s="1743">
        <f>VLOOKUP(L276,'Beer Kit Calc''s Etc'!AE2:AG103,3)</f>
        <v>90.24</v>
      </c>
      <c r="N276" s="1031"/>
      <c r="O276" s="1031"/>
      <c r="P276" s="1031"/>
      <c r="Q276" s="1031"/>
      <c r="R276" s="1294"/>
      <c r="S276" s="2946"/>
      <c r="T276" s="2946"/>
      <c r="U276" s="2946"/>
      <c r="V276" s="2946"/>
      <c r="W276" s="657"/>
      <c r="X276" s="940"/>
      <c r="Y276" s="940"/>
      <c r="Z276" s="940"/>
      <c r="AA276" s="940"/>
      <c r="AB276" s="940"/>
      <c r="AC276" s="940"/>
      <c r="AD276" s="940"/>
      <c r="AE276" s="940"/>
      <c r="AF276" s="940"/>
      <c r="AG276" s="940"/>
      <c r="AH276" s="940"/>
      <c r="AI276" s="940"/>
      <c r="AJ276" s="943"/>
      <c r="AK276" s="652"/>
      <c r="AL276" s="653"/>
    </row>
    <row r="277" spans="1:38" ht="13.5">
      <c r="A277" s="949"/>
      <c r="B277" s="1294"/>
      <c r="C277" s="1740"/>
      <c r="D277" s="1740"/>
      <c r="E277" s="798"/>
      <c r="F277" s="798"/>
      <c r="G277" s="1740"/>
      <c r="H277" s="1740"/>
      <c r="I277" s="1740"/>
      <c r="J277" s="1740"/>
      <c r="K277" s="1740"/>
      <c r="L277" s="1740"/>
      <c r="M277" s="1740"/>
      <c r="N277" s="1294"/>
      <c r="O277" s="1294"/>
      <c r="P277" s="1294"/>
      <c r="Q277" s="1294"/>
      <c r="R277" s="1294"/>
      <c r="S277" s="1294"/>
      <c r="T277" s="1294"/>
      <c r="U277" s="1294"/>
      <c r="V277" s="1294"/>
      <c r="W277" s="941"/>
      <c r="X277" s="940"/>
      <c r="Y277" s="940"/>
      <c r="Z277" s="940"/>
      <c r="AA277" s="940"/>
      <c r="AB277" s="940"/>
      <c r="AC277" s="940"/>
      <c r="AD277" s="940"/>
      <c r="AE277" s="940"/>
      <c r="AF277" s="940"/>
      <c r="AG277" s="940"/>
      <c r="AH277" s="940"/>
      <c r="AI277" s="940"/>
      <c r="AJ277" s="943"/>
      <c r="AK277" s="652"/>
      <c r="AL277" s="653"/>
    </row>
    <row r="278" spans="1:38" ht="13.5">
      <c r="A278" s="949"/>
      <c r="B278" s="2892" t="s">
        <v>542</v>
      </c>
      <c r="C278" s="2892"/>
      <c r="D278" s="2892"/>
      <c r="E278" s="2892"/>
      <c r="F278" s="925"/>
      <c r="G278" s="790"/>
      <c r="H278" s="1771"/>
      <c r="I278" s="1740"/>
      <c r="J278" s="1740"/>
      <c r="K278" s="1740"/>
      <c r="L278" s="1740"/>
      <c r="M278" s="1740"/>
      <c r="N278" s="1294"/>
      <c r="O278" s="1294"/>
      <c r="P278" s="1294"/>
      <c r="Q278" s="1294"/>
      <c r="R278" s="1294"/>
      <c r="S278" s="1294"/>
      <c r="T278" s="1294"/>
      <c r="U278" s="1294"/>
      <c r="V278" s="1294"/>
      <c r="W278" s="641"/>
      <c r="X278" s="940"/>
      <c r="Y278" s="940"/>
      <c r="Z278" s="940"/>
      <c r="AA278" s="940"/>
      <c r="AB278" s="940"/>
      <c r="AC278" s="940"/>
      <c r="AD278" s="940"/>
      <c r="AE278" s="940"/>
      <c r="AF278" s="940"/>
      <c r="AG278" s="940"/>
      <c r="AH278" s="940"/>
      <c r="AI278" s="940"/>
      <c r="AJ278" s="943"/>
      <c r="AK278" s="652"/>
      <c r="AL278" s="653"/>
    </row>
    <row r="279" spans="1:38" ht="13.5">
      <c r="A279" s="949"/>
      <c r="B279" s="790"/>
      <c r="C279" s="2900" t="s">
        <v>975</v>
      </c>
      <c r="D279" s="2900"/>
      <c r="E279" s="2900"/>
      <c r="F279" s="2901"/>
      <c r="G279" s="2897" t="s">
        <v>976</v>
      </c>
      <c r="H279" s="2898"/>
      <c r="I279" s="2899"/>
      <c r="J279" s="925"/>
      <c r="K279" s="790"/>
      <c r="L279" s="1740"/>
      <c r="M279" s="1740"/>
      <c r="N279" s="1294"/>
      <c r="O279" s="1294"/>
      <c r="P279" s="1294"/>
      <c r="Q279" s="1294"/>
      <c r="R279" s="1294"/>
      <c r="S279" s="1294"/>
      <c r="T279" s="1294"/>
      <c r="U279" s="1294"/>
      <c r="V279" s="1294"/>
      <c r="W279" s="641"/>
      <c r="X279" s="940"/>
      <c r="Y279" s="940"/>
      <c r="Z279" s="940"/>
      <c r="AA279" s="940"/>
      <c r="AB279" s="940"/>
      <c r="AC279" s="940"/>
      <c r="AD279" s="940"/>
      <c r="AE279" s="940"/>
      <c r="AF279" s="940"/>
      <c r="AG279" s="940"/>
      <c r="AH279" s="940"/>
      <c r="AI279" s="940"/>
      <c r="AJ279" s="943"/>
      <c r="AK279" s="652"/>
      <c r="AL279" s="653"/>
    </row>
    <row r="280" spans="1:38" ht="13.5">
      <c r="A280" s="949"/>
      <c r="B280" s="1740"/>
      <c r="C280" s="1740"/>
      <c r="D280" s="1740"/>
      <c r="E280" s="798"/>
      <c r="F280" s="798"/>
      <c r="G280" s="1735" t="s">
        <v>978</v>
      </c>
      <c r="H280" s="1736" t="s">
        <v>979</v>
      </c>
      <c r="I280" s="1736" t="s">
        <v>980</v>
      </c>
      <c r="J280" s="2051">
        <f>G282*H282/1000</f>
        <v>5.581058</v>
      </c>
      <c r="K280" s="925"/>
      <c r="L280" s="1740"/>
      <c r="M280" s="1740"/>
      <c r="N280" s="1294"/>
      <c r="O280" s="1294"/>
      <c r="P280" s="1294"/>
      <c r="Q280" s="1294"/>
      <c r="R280" s="1294"/>
      <c r="S280" s="1294"/>
      <c r="T280" s="1294"/>
      <c r="U280" s="1294"/>
      <c r="V280" s="1294"/>
      <c r="W280" s="641"/>
      <c r="X280" s="940"/>
      <c r="Y280" s="940"/>
      <c r="Z280" s="940"/>
      <c r="AA280" s="940"/>
      <c r="AB280" s="940"/>
      <c r="AC280" s="940"/>
      <c r="AD280" s="940"/>
      <c r="AE280" s="940"/>
      <c r="AF280" s="940"/>
      <c r="AG280" s="940"/>
      <c r="AH280" s="940"/>
      <c r="AI280" s="940"/>
      <c r="AJ280" s="943"/>
      <c r="AK280" s="652"/>
      <c r="AL280" s="653"/>
    </row>
    <row r="281" spans="1:38" ht="15" customHeight="1">
      <c r="A281" s="949"/>
      <c r="B281" s="1740"/>
      <c r="C281" s="1740"/>
      <c r="D281" s="1740"/>
      <c r="E281" s="798"/>
      <c r="F281" s="798"/>
      <c r="G281" s="947">
        <v>789.4</v>
      </c>
      <c r="H281" s="947">
        <v>7.07</v>
      </c>
      <c r="I281" s="947">
        <v>3.85</v>
      </c>
      <c r="J281" s="2896" t="s">
        <v>982</v>
      </c>
      <c r="K281" s="2896"/>
      <c r="L281" s="1744"/>
      <c r="M281" s="1744"/>
      <c r="N281" s="1294"/>
      <c r="O281" s="1294"/>
      <c r="P281" s="1294"/>
      <c r="Q281" s="1294"/>
      <c r="R281" s="1294"/>
      <c r="S281" s="1294"/>
      <c r="T281" s="1294"/>
      <c r="U281" s="1294"/>
      <c r="V281" s="1294"/>
      <c r="W281" s="641"/>
      <c r="X281" s="940"/>
      <c r="Y281" s="940"/>
      <c r="Z281" s="940"/>
      <c r="AA281" s="940"/>
      <c r="AB281" s="940"/>
      <c r="AC281" s="940"/>
      <c r="AD281" s="940"/>
      <c r="AE281" s="940"/>
      <c r="AF281" s="940"/>
      <c r="AG281" s="940"/>
      <c r="AH281" s="940"/>
      <c r="AI281" s="940"/>
      <c r="AJ281" s="943"/>
      <c r="AK281" s="652"/>
      <c r="AL281" s="653"/>
    </row>
    <row r="282" spans="1:38" ht="15" customHeight="1">
      <c r="A282" s="949"/>
      <c r="B282" s="949"/>
      <c r="C282" s="949"/>
      <c r="D282" s="949"/>
      <c r="E282" s="949"/>
      <c r="F282" s="949"/>
      <c r="G282" s="1595">
        <v>789.4</v>
      </c>
      <c r="H282" s="1595">
        <v>7.07</v>
      </c>
      <c r="I282" s="1595">
        <v>3.85</v>
      </c>
      <c r="J282" s="2895" t="s">
        <v>984</v>
      </c>
      <c r="K282" s="2895"/>
      <c r="L282" s="949"/>
      <c r="M282" s="949"/>
      <c r="N282" s="949"/>
      <c r="O282" s="2945"/>
      <c r="P282" s="2945"/>
      <c r="Q282" s="2945"/>
      <c r="R282" s="2945"/>
      <c r="S282" s="2884" t="s">
        <v>991</v>
      </c>
      <c r="T282" s="2884"/>
      <c r="U282" s="2884"/>
      <c r="V282" s="2884"/>
      <c r="W282" s="641"/>
      <c r="X282" s="940"/>
      <c r="Y282" s="940"/>
      <c r="Z282" s="940"/>
      <c r="AA282" s="940"/>
      <c r="AB282" s="940"/>
      <c r="AC282" s="940"/>
      <c r="AD282" s="940"/>
      <c r="AE282" s="940"/>
      <c r="AF282" s="940"/>
      <c r="AG282" s="940"/>
      <c r="AH282" s="940"/>
      <c r="AI282" s="940"/>
      <c r="AJ282" s="652"/>
      <c r="AK282" s="652"/>
      <c r="AL282" s="653"/>
    </row>
    <row r="283" spans="1:38" ht="13.5">
      <c r="A283" s="641"/>
      <c r="B283" s="641"/>
      <c r="C283" s="641"/>
      <c r="D283" s="641"/>
      <c r="E283" s="641"/>
      <c r="F283" s="641"/>
      <c r="G283" s="2891" t="s">
        <v>38</v>
      </c>
      <c r="H283" s="2891"/>
      <c r="I283" s="2891"/>
      <c r="J283" s="2891"/>
      <c r="K283" s="2891"/>
      <c r="L283" s="948"/>
      <c r="M283" s="949"/>
      <c r="N283" s="949"/>
      <c r="O283" s="2888" t="s">
        <v>992</v>
      </c>
      <c r="P283" s="2888"/>
      <c r="Q283" s="2888"/>
      <c r="R283" s="2888"/>
      <c r="S283" s="2887" t="s">
        <v>319</v>
      </c>
      <c r="T283" s="2887"/>
      <c r="U283" s="2887"/>
      <c r="V283" s="2887"/>
      <c r="W283" s="641"/>
      <c r="X283" s="940"/>
      <c r="Y283" s="940"/>
      <c r="Z283" s="940"/>
      <c r="AA283" s="940"/>
      <c r="AB283" s="940"/>
      <c r="AC283" s="940"/>
      <c r="AD283" s="940"/>
      <c r="AE283" s="940"/>
      <c r="AF283" s="940"/>
      <c r="AG283" s="940"/>
      <c r="AH283" s="940"/>
      <c r="AI283" s="940"/>
      <c r="AJ283" s="652"/>
      <c r="AK283" s="652"/>
      <c r="AL283" s="653"/>
    </row>
    <row r="284" spans="1:38" ht="13.5">
      <c r="A284" s="641"/>
      <c r="B284" s="641"/>
      <c r="C284" s="641"/>
      <c r="D284" s="641"/>
      <c r="E284" s="641"/>
      <c r="F284" s="641"/>
      <c r="G284" s="641"/>
      <c r="H284" s="641"/>
      <c r="I284" s="641"/>
      <c r="J284" s="641"/>
      <c r="K284" s="641"/>
      <c r="L284" s="948"/>
      <c r="M284" s="949"/>
      <c r="N284" s="949"/>
      <c r="O284" s="2889" t="s">
        <v>28</v>
      </c>
      <c r="P284" s="2889"/>
      <c r="Q284" s="2889"/>
      <c r="R284" s="2889"/>
      <c r="S284" s="2886" t="s">
        <v>742</v>
      </c>
      <c r="T284" s="2886"/>
      <c r="U284" s="2886"/>
      <c r="V284" s="2886"/>
      <c r="W284" s="641"/>
      <c r="X284" s="940"/>
      <c r="Y284" s="940"/>
      <c r="Z284" s="940"/>
      <c r="AA284" s="940"/>
      <c r="AB284" s="940"/>
      <c r="AC284" s="940"/>
      <c r="AD284" s="940"/>
      <c r="AE284" s="940"/>
      <c r="AF284" s="940"/>
      <c r="AG284" s="940"/>
      <c r="AH284" s="940"/>
      <c r="AI284" s="940"/>
      <c r="AJ284" s="652"/>
      <c r="AK284" s="652"/>
      <c r="AL284" s="653"/>
    </row>
    <row r="285" spans="1:38" ht="13.5">
      <c r="A285" s="641"/>
      <c r="B285" s="2883" t="s">
        <v>917</v>
      </c>
      <c r="C285" s="2883"/>
      <c r="D285" s="2883"/>
      <c r="E285" s="2883"/>
      <c r="F285" s="2883"/>
      <c r="G285" s="2883"/>
      <c r="H285" s="2883"/>
      <c r="I285" s="2883"/>
      <c r="J285" s="2883"/>
      <c r="K285" s="641"/>
      <c r="L285" s="641"/>
      <c r="M285" s="641"/>
      <c r="N285" s="641"/>
      <c r="O285" s="2888" t="s">
        <v>350</v>
      </c>
      <c r="P285" s="2888"/>
      <c r="Q285" s="2888"/>
      <c r="R285" s="2888"/>
      <c r="S285" s="2885" t="s">
        <v>321</v>
      </c>
      <c r="T285" s="2885"/>
      <c r="U285" s="2885"/>
      <c r="V285" s="2885"/>
      <c r="W285" s="641"/>
      <c r="X285" s="940"/>
      <c r="Y285" s="940"/>
      <c r="Z285" s="940"/>
      <c r="AA285" s="940"/>
      <c r="AB285" s="940"/>
      <c r="AC285" s="940"/>
      <c r="AD285" s="940"/>
      <c r="AE285" s="940"/>
      <c r="AF285" s="940"/>
      <c r="AG285" s="940"/>
      <c r="AH285" s="940"/>
      <c r="AI285" s="940"/>
      <c r="AJ285" s="652"/>
      <c r="AK285" s="652"/>
      <c r="AL285" s="653"/>
    </row>
    <row r="286" spans="1:23" ht="12.75">
      <c r="A286" s="641"/>
      <c r="B286" s="641"/>
      <c r="C286" s="641"/>
      <c r="D286" s="641"/>
      <c r="E286" s="641"/>
      <c r="F286" s="641"/>
      <c r="G286" s="641"/>
      <c r="H286" s="641"/>
      <c r="I286" s="641"/>
      <c r="J286" s="641"/>
      <c r="K286" s="641"/>
      <c r="L286" s="641"/>
      <c r="M286" s="641"/>
      <c r="N286" s="641"/>
      <c r="O286" s="641"/>
      <c r="P286" s="641"/>
      <c r="Q286" s="641"/>
      <c r="R286" s="641"/>
      <c r="S286" s="641"/>
      <c r="T286" s="641"/>
      <c r="U286" s="641"/>
      <c r="V286" s="641"/>
      <c r="W286" s="641"/>
    </row>
  </sheetData>
  <sheetProtection password="FA80" sheet="1" objects="1" scenarios="1"/>
  <mergeCells count="280">
    <mergeCell ref="A2:B2"/>
    <mergeCell ref="A3:D3"/>
    <mergeCell ref="E14:F14"/>
    <mergeCell ref="B12:G12"/>
    <mergeCell ref="B4:C4"/>
    <mergeCell ref="B5:C5"/>
    <mergeCell ref="B6:C6"/>
    <mergeCell ref="B7:C7"/>
    <mergeCell ref="E7:F7"/>
    <mergeCell ref="X5:Y5"/>
    <mergeCell ref="I12:S12"/>
    <mergeCell ref="I13:S13"/>
    <mergeCell ref="X6:Y6"/>
    <mergeCell ref="X7:Y7"/>
    <mergeCell ref="I5:N5"/>
    <mergeCell ref="X8:AT8"/>
    <mergeCell ref="I6:N6"/>
    <mergeCell ref="I7:N7"/>
    <mergeCell ref="AS7:AT7"/>
    <mergeCell ref="C8:J8"/>
    <mergeCell ref="C149:D149"/>
    <mergeCell ref="I149:R149"/>
    <mergeCell ref="I148:Q148"/>
    <mergeCell ref="I88:S88"/>
    <mergeCell ref="K126:L126"/>
    <mergeCell ref="P126:Q126"/>
    <mergeCell ref="K98:L98"/>
    <mergeCell ref="G143:M143"/>
    <mergeCell ref="C148:D148"/>
    <mergeCell ref="E143:F144"/>
    <mergeCell ref="N15:S15"/>
    <mergeCell ref="E88:G88"/>
    <mergeCell ref="O173:P173"/>
    <mergeCell ref="G165:M165"/>
    <mergeCell ref="L150:P150"/>
    <mergeCell ref="G164:M164"/>
    <mergeCell ref="G171:R171"/>
    <mergeCell ref="G172:R172"/>
    <mergeCell ref="K173:L173"/>
    <mergeCell ref="G168:M168"/>
    <mergeCell ref="Q173:R173"/>
    <mergeCell ref="E173:G173"/>
    <mergeCell ref="E172:F172"/>
    <mergeCell ref="AQ5:AR5"/>
    <mergeCell ref="C156:S156"/>
    <mergeCell ref="L155:S155"/>
    <mergeCell ref="L151:P151"/>
    <mergeCell ref="AH7:AI7"/>
    <mergeCell ref="AB7:AC7"/>
    <mergeCell ref="N128:S128"/>
    <mergeCell ref="L154:S154"/>
    <mergeCell ref="O143:S146"/>
    <mergeCell ref="AH4:AI4"/>
    <mergeCell ref="AH6:AI6"/>
    <mergeCell ref="AS4:AT4"/>
    <mergeCell ref="AQ4:AR4"/>
    <mergeCell ref="AQ6:AR6"/>
    <mergeCell ref="AS5:AT5"/>
    <mergeCell ref="AH5:AI5"/>
    <mergeCell ref="X1:AT1"/>
    <mergeCell ref="X12:AH12"/>
    <mergeCell ref="X2:Y3"/>
    <mergeCell ref="Z7:AA7"/>
    <mergeCell ref="X4:Y4"/>
    <mergeCell ref="AS2:AT3"/>
    <mergeCell ref="AQ2:AR3"/>
    <mergeCell ref="AQ7:AR7"/>
    <mergeCell ref="AS6:AT6"/>
    <mergeCell ref="AH2:AI3"/>
    <mergeCell ref="AB2:AC3"/>
    <mergeCell ref="AD7:AE7"/>
    <mergeCell ref="AF5:AG5"/>
    <mergeCell ref="AF6:AG6"/>
    <mergeCell ref="AD2:AE3"/>
    <mergeCell ref="AD4:AE4"/>
    <mergeCell ref="AF4:AG4"/>
    <mergeCell ref="AD6:AE6"/>
    <mergeCell ref="AB6:AC6"/>
    <mergeCell ref="AB4:AC4"/>
    <mergeCell ref="U1:V1"/>
    <mergeCell ref="Q3:V4"/>
    <mergeCell ref="I4:N4"/>
    <mergeCell ref="I3:N3"/>
    <mergeCell ref="I1:L1"/>
    <mergeCell ref="C186:D186"/>
    <mergeCell ref="C172:D172"/>
    <mergeCell ref="C158:D158"/>
    <mergeCell ref="G154:K154"/>
    <mergeCell ref="C170:R170"/>
    <mergeCell ref="C154:D154"/>
    <mergeCell ref="N159:S159"/>
    <mergeCell ref="G158:K158"/>
    <mergeCell ref="C155:K155"/>
    <mergeCell ref="G161:M161"/>
    <mergeCell ref="J185:K185"/>
    <mergeCell ref="C173:D173"/>
    <mergeCell ref="I180:L180"/>
    <mergeCell ref="C175:D175"/>
    <mergeCell ref="K175:L175"/>
    <mergeCell ref="K174:L174"/>
    <mergeCell ref="C174:D174"/>
    <mergeCell ref="C185:D185"/>
    <mergeCell ref="C178:D178"/>
    <mergeCell ref="C180:D180"/>
    <mergeCell ref="B265:C265"/>
    <mergeCell ref="D193:F193"/>
    <mergeCell ref="C203:D203"/>
    <mergeCell ref="C202:D202"/>
    <mergeCell ref="E208:F208"/>
    <mergeCell ref="C181:D181"/>
    <mergeCell ref="C184:D184"/>
    <mergeCell ref="C176:D176"/>
    <mergeCell ref="C182:D182"/>
    <mergeCell ref="C179:D179"/>
    <mergeCell ref="C188:D188"/>
    <mergeCell ref="O207:P207"/>
    <mergeCell ref="I179:L179"/>
    <mergeCell ref="J184:K184"/>
    <mergeCell ref="I181:L181"/>
    <mergeCell ref="I183:S183"/>
    <mergeCell ref="I182:S182"/>
    <mergeCell ref="L197:N197"/>
    <mergeCell ref="O193:P193"/>
    <mergeCell ref="M180:T180"/>
    <mergeCell ref="C197:K197"/>
    <mergeCell ref="B196:D196"/>
    <mergeCell ref="C191:D191"/>
    <mergeCell ref="C190:D190"/>
    <mergeCell ref="G192:L192"/>
    <mergeCell ref="G193:L193"/>
    <mergeCell ref="D194:F194"/>
    <mergeCell ref="Q194:V194"/>
    <mergeCell ref="G194:L194"/>
    <mergeCell ref="Q193:V193"/>
    <mergeCell ref="E176:G176"/>
    <mergeCell ref="M176:N176"/>
    <mergeCell ref="K176:L176"/>
    <mergeCell ref="I178:L178"/>
    <mergeCell ref="O194:P194"/>
    <mergeCell ref="M178:R178"/>
    <mergeCell ref="J186:K186"/>
    <mergeCell ref="Q176:R176"/>
    <mergeCell ref="AF2:AG3"/>
    <mergeCell ref="N124:O124"/>
    <mergeCell ref="S2:V2"/>
    <mergeCell ref="Q5:V5"/>
    <mergeCell ref="Z4:AA4"/>
    <mergeCell ref="Z6:AA6"/>
    <mergeCell ref="Z5:AA5"/>
    <mergeCell ref="M174:N174"/>
    <mergeCell ref="Q174:R174"/>
    <mergeCell ref="O176:P176"/>
    <mergeCell ref="M175:N175"/>
    <mergeCell ref="I176:J176"/>
    <mergeCell ref="G163:M163"/>
    <mergeCell ref="M173:N173"/>
    <mergeCell ref="O174:P174"/>
    <mergeCell ref="I174:J174"/>
    <mergeCell ref="E175:G175"/>
    <mergeCell ref="E174:G174"/>
    <mergeCell ref="E171:F171"/>
    <mergeCell ref="Z2:AA3"/>
    <mergeCell ref="C89:S89"/>
    <mergeCell ref="K100:L100"/>
    <mergeCell ref="I175:J175"/>
    <mergeCell ref="O175:P175"/>
    <mergeCell ref="Q175:R175"/>
    <mergeCell ref="C171:D171"/>
    <mergeCell ref="C157:S157"/>
    <mergeCell ref="L152:P152"/>
    <mergeCell ref="I173:J173"/>
    <mergeCell ref="AB5:AC5"/>
    <mergeCell ref="C23:S23"/>
    <mergeCell ref="N102:S102"/>
    <mergeCell ref="P125:Q125"/>
    <mergeCell ref="X23:AS23"/>
    <mergeCell ref="N25:S25"/>
    <mergeCell ref="AR24:AU25"/>
    <mergeCell ref="AD5:AE5"/>
    <mergeCell ref="AF7:AG7"/>
    <mergeCell ref="N125:O125"/>
    <mergeCell ref="C13:G13"/>
    <mergeCell ref="I98:J98"/>
    <mergeCell ref="E24:F24"/>
    <mergeCell ref="N168:S168"/>
    <mergeCell ref="S148:T148"/>
    <mergeCell ref="C150:D150"/>
    <mergeCell ref="E146:F146"/>
    <mergeCell ref="B142:D145"/>
    <mergeCell ref="I150:K150"/>
    <mergeCell ref="K125:L125"/>
    <mergeCell ref="C98:G98"/>
    <mergeCell ref="C124:G124"/>
    <mergeCell ref="K124:L124"/>
    <mergeCell ref="P124:Q124"/>
    <mergeCell ref="E101:F101"/>
    <mergeCell ref="K99:L99"/>
    <mergeCell ref="S273:U273"/>
    <mergeCell ref="O282:R282"/>
    <mergeCell ref="S274:V276"/>
    <mergeCell ref="N126:O126"/>
    <mergeCell ref="Q209:V209"/>
    <mergeCell ref="Q191:V191"/>
    <mergeCell ref="M179:R179"/>
    <mergeCell ref="R199:T199"/>
    <mergeCell ref="R198:S198"/>
    <mergeCell ref="H200:P200"/>
    <mergeCell ref="E272:G272"/>
    <mergeCell ref="D213:F213"/>
    <mergeCell ref="G269:J269"/>
    <mergeCell ref="S272:U272"/>
    <mergeCell ref="S269:V270"/>
    <mergeCell ref="J259:M259"/>
    <mergeCell ref="Q213:V213"/>
    <mergeCell ref="N213:P213"/>
    <mergeCell ref="O259:R259"/>
    <mergeCell ref="E189:F189"/>
    <mergeCell ref="G190:L190"/>
    <mergeCell ref="G189:J189"/>
    <mergeCell ref="Q190:V190"/>
    <mergeCell ref="Q189:V189"/>
    <mergeCell ref="L189:N189"/>
    <mergeCell ref="G188:N188"/>
    <mergeCell ref="Q192:V192"/>
    <mergeCell ref="O188:P188"/>
    <mergeCell ref="G191:L191"/>
    <mergeCell ref="L198:N198"/>
    <mergeCell ref="Q208:V208"/>
    <mergeCell ref="C199:D199"/>
    <mergeCell ref="G210:K210"/>
    <mergeCell ref="G207:N207"/>
    <mergeCell ref="G209:K209"/>
    <mergeCell ref="G208:J208"/>
    <mergeCell ref="C210:D210"/>
    <mergeCell ref="L208:N208"/>
    <mergeCell ref="L209:O209"/>
    <mergeCell ref="G199:P199"/>
    <mergeCell ref="B259:C259"/>
    <mergeCell ref="S271:U271"/>
    <mergeCell ref="C209:D209"/>
    <mergeCell ref="C260:I260"/>
    <mergeCell ref="T215:V215"/>
    <mergeCell ref="L210:O210"/>
    <mergeCell ref="N212:P212"/>
    <mergeCell ref="Q210:V210"/>
    <mergeCell ref="Q212:V212"/>
    <mergeCell ref="E273:G273"/>
    <mergeCell ref="C266:I267"/>
    <mergeCell ref="C262:I262"/>
    <mergeCell ref="I202:T202"/>
    <mergeCell ref="G212:J212"/>
    <mergeCell ref="G211:J211"/>
    <mergeCell ref="C261:I261"/>
    <mergeCell ref="C211:D211"/>
    <mergeCell ref="G213:J213"/>
    <mergeCell ref="D212:F212"/>
    <mergeCell ref="C200:D200"/>
    <mergeCell ref="I201:P201"/>
    <mergeCell ref="L211:O211"/>
    <mergeCell ref="C201:D201"/>
    <mergeCell ref="Q211:V211"/>
    <mergeCell ref="C205:D205"/>
    <mergeCell ref="C207:D207"/>
    <mergeCell ref="C204:D204"/>
    <mergeCell ref="E274:G274"/>
    <mergeCell ref="G283:K283"/>
    <mergeCell ref="B278:E278"/>
    <mergeCell ref="G275:J275"/>
    <mergeCell ref="J282:K282"/>
    <mergeCell ref="J281:K281"/>
    <mergeCell ref="G279:I279"/>
    <mergeCell ref="C279:F279"/>
    <mergeCell ref="B285:J285"/>
    <mergeCell ref="S282:V282"/>
    <mergeCell ref="S285:V285"/>
    <mergeCell ref="S284:V284"/>
    <mergeCell ref="S283:V283"/>
    <mergeCell ref="O285:R285"/>
    <mergeCell ref="O283:R283"/>
    <mergeCell ref="O284:R284"/>
  </mergeCells>
  <conditionalFormatting sqref="G202">
    <cfRule type="cellIs" priority="9" dxfId="2" operator="greaterThan" stopIfTrue="1">
      <formula>4</formula>
    </cfRule>
  </conditionalFormatting>
  <conditionalFormatting sqref="S178">
    <cfRule type="cellIs" priority="1" dxfId="4" operator="lessThan" stopIfTrue="1">
      <formula>$G$182-0.3</formula>
    </cfRule>
    <cfRule type="cellIs" priority="2" dxfId="3" operator="between" stopIfTrue="1">
      <formula>$G$182-0.3</formula>
      <formula>$G$182</formula>
    </cfRule>
    <cfRule type="cellIs" priority="3" dxfId="2" operator="greaterThan" stopIfTrue="1">
      <formula>$G$182</formula>
    </cfRule>
  </conditionalFormatting>
  <conditionalFormatting sqref="E172">
    <cfRule type="cellIs" priority="7" dxfId="1" operator="equal" stopIfTrue="1">
      <formula>0</formula>
    </cfRule>
    <cfRule type="cellIs" priority="8" dxfId="0" operator="greaterThan" stopIfTrue="1">
      <formula>0</formula>
    </cfRule>
  </conditionalFormatting>
  <hyperlinks>
    <hyperlink ref="L210:N210" location="'Wine Calc'!E156" display="(If not - check cell &quot;E157&quot;)"/>
    <hyperlink ref="L210:M210" location="'Wine Calc'!E156" display="(If not - check cell &quot;E157&quot;)"/>
    <hyperlink ref="S285" r:id="rId1" display="www.yobrew.co.uk"/>
    <hyperlink ref="N210" location="'Wine Calc'!E156" display="'Wine Calc'!E156"/>
    <hyperlink ref="S283" r:id="rId2" display="www.thewinemakersgoodbrewbook.com"/>
    <hyperlink ref="L210:O210" location="'Wine Calc '!E171" display="(If not - check cell &quot;E171&quot;)"/>
    <hyperlink ref="L197" location="'Wine Calc.'!D67" display="Ensure cell E157 is clear!"/>
    <hyperlink ref="L197:N197" location="'Wine Calc '!E171" display="Ensure cell E171 is clear!"/>
    <hyperlink ref="A243" r:id="rId3" display="www.petespintpot.co.uk/index.html#PIGGY-BACK "/>
    <hyperlink ref="S2" r:id="rId4" display="www.petespintpot.co.uk"/>
    <hyperlink ref="G214" r:id="rId5" display="http://www.petespintpot.co.uk/diabetic.html"/>
    <hyperlink ref="C243" r:id="rId6" display="http://www.petespintpot.co.uk/index.html#PIGGY-BACK "/>
    <hyperlink ref="AU285" r:id="rId7" display="http://www.yobrew.co.uk/"/>
    <hyperlink ref="AU284" r:id="rId8" display="http://www.yobrew.co.uk/"/>
    <hyperlink ref="AU283" r:id="rId9" display="mailto:david.barrow@live.co.uk"/>
    <hyperlink ref="G178" location="'Wine Calc '!D7" display="'Wine Calc '!D7"/>
    <hyperlink ref="A242" r:id="rId10" display="www.petespintpot.co.uk/index.html#PIGGY-BACK "/>
    <hyperlink ref="C242" r:id="rId11" display="http://www.petespintpot.co.uk/index.html#PIGGY-BACK "/>
    <hyperlink ref="AU282" r:id="rId12" display="http://www.petespintpot.co.uk/"/>
    <hyperlink ref="G177" location="'Wine Calc '!D7" display="'Wine Calc '!D7"/>
    <hyperlink ref="J235:S235" location="'Beer Kit Calc''s Etc'!AM98" display="'Beer Kit Calc''s Etc'!AM98"/>
    <hyperlink ref="R2" r:id="rId13" display="www.petespintpot.co.uk"/>
    <hyperlink ref="J189" location="'Wine Calc.'!D67" display="Ensure cell E157 is clear!"/>
    <hyperlink ref="P2" r:id="rId14" display="www.petespintpot.co.uk"/>
    <hyperlink ref="A236" r:id="rId15" display="http://www.petespintpot.co.uk/index.html#PIGGY-BACK "/>
    <hyperlink ref="E207" r:id="rId16" display="http://www.petespintpot.co.uk/diabetic.html"/>
    <hyperlink ref="M200:Q200" location="'Wine Calc'!N261" display="Technical Section, cells N261 to P262."/>
    <hyperlink ref="J202:L202" location="'Wine Calc'!E156" display="(If not - check cell &quot;E157&quot;)"/>
    <hyperlink ref="J202:K202" location="'Wine Calc'!E156" display="(If not - check cell &quot;E157&quot;)"/>
    <hyperlink ref="L202" location="'Wine Calc'!E156" display="'Wine Calc'!E156"/>
    <hyperlink ref="J202:M202" location="'Wine Calc'!E162" display="(If not - check cell &quot;E162&quot;)"/>
    <hyperlink ref="M199:Q199" location="'Wine Calc'!N261" display="Technical Section, cells N261 to P262."/>
    <hyperlink ref="J188" location="'Wine Calc.'!D67" display="Ensure cell E157 is clear!"/>
    <hyperlink ref="J188:L188" location="'Wine Calc'!E162" display="Ensure cell E162 is clear!"/>
    <hyperlink ref="J234:S234" location="'Beer Kit Calc''s Etc'!AM98" display="'Beer Kit Calc''s Etc'!AM98"/>
    <hyperlink ref="A235" r:id="rId17" display="http://www.petespintpot.co.uk/index.html#PIGGY-BACK "/>
    <hyperlink ref="AS277" r:id="rId18" display="http://www.petespintpot.co.uk/"/>
    <hyperlink ref="AS276" r:id="rId19" display="mailto:david.barrow@live.co.uk"/>
    <hyperlink ref="AS275" r:id="rId20" display="http://www.petespintpot.co.uk/"/>
    <hyperlink ref="R191" location="'Wine Calc.'!D67" display="Ensure cell E157 is clear!"/>
    <hyperlink ref="V5" r:id="rId21" display="www.petespintpot.co.uk"/>
    <hyperlink ref="S202:W202" location="'Wine Calc'!N261" display="Technical Section, cells N261 to P262."/>
    <hyperlink ref="I171" location="'Beer Kit Calc''s Etc.'!AO78" display="FINAL BOTTLED VOLUME "/>
    <hyperlink ref="I171:J171" location="'Beer Kit Calc''s Etc'!B97" display="FINAL BOTTLED VOLUME "/>
    <hyperlink ref="J237:S237" location="'Beer Kit Calc''s Etc'!AM98" display="'Beer Kit Calc''s Etc'!AM98"/>
    <hyperlink ref="O202:S202" location="'Wine Calc'!N261" display="Technical Section, cells N261 to P262."/>
    <hyperlink ref="O182:S182" location="'Wine Calc'!N261" display="Technical Section, cells N261 to P262."/>
    <hyperlink ref="L191" location="'Wine Calc.'!D67" display="Ensure cell E157 is clear!"/>
    <hyperlink ref="R6" r:id="rId22" display="www.petespintpot.co.uk"/>
    <hyperlink ref="J191" location="'Wine Calc.'!D67" display="Ensure cell E157 is clear!"/>
    <hyperlink ref="A238" r:id="rId23" display="http://www.petespintpot.co.uk/index.html#PIGGY-BACK "/>
    <hyperlink ref="E209" r:id="rId24" display="http://www.petespintpot.co.uk/diabetic.html"/>
    <hyperlink ref="M182:Q182" location="'Wine Calc'!N261" display="Technical Section, cells N261 to P262."/>
    <hyperlink ref="M202:Q202" location="'Wine Calc'!N261" display="Technical Section, cells N261 to P262."/>
    <hyperlink ref="M201:Q201" location="'Wine Calc'!N261" display="Technical Section, cells N261 to P262."/>
    <hyperlink ref="J190" location="'Wine Calc.'!D67" display="Ensure cell E157 is clear!"/>
    <hyperlink ref="J190:L190" location="'Wine Calc'!E162" display="Ensure cell E162 is clear!"/>
    <hyperlink ref="J236:S236" location="'Beer Kit Calc''s Etc'!AM98" display="'Beer Kit Calc''s Etc'!AM98"/>
    <hyperlink ref="A237" r:id="rId25" display="http://www.petespintpot.co.uk/index.html#PIGGY-BACK "/>
    <hyperlink ref="AS279" r:id="rId26" display="http://www.yobrew.co.uk/"/>
    <hyperlink ref="AS278" r:id="rId27" display="mailto:david.barrow@live.co.uk"/>
    <hyperlink ref="J191:L191" location="'Wine Calc'!E162" display="Ensure cell E162 is clear!"/>
    <hyperlink ref="L237:S237" location="'Beer Kit Calc''s Etc'!AM98" display="'Beer Kit Calc''s Etc'!AM98"/>
    <hyperlink ref="Q202:U202" location="'Wine Calc'!N261" display="Technical Section, cells N261 to P262."/>
    <hyperlink ref="N191" location="'Wine Calc.'!D67" display="Ensure cell E157 is clear!"/>
    <hyperlink ref="T6" r:id="rId28" display="www.petespintpot.co.uk"/>
    <hyperlink ref="C238" r:id="rId29" display="http://www.petespintpot.co.uk/index.html#PIGGY-BACK "/>
    <hyperlink ref="L190" location="'Wine Calc.'!D67" display="Ensure cell E157 is clear!"/>
    <hyperlink ref="L236:S236" location="'Beer Kit Calc''s Etc'!AM98" display="'Beer Kit Calc''s Etc'!AM98"/>
    <hyperlink ref="C237" r:id="rId30" display="http://www.petespintpot.co.uk/index.html#PIGGY-BACK "/>
    <hyperlink ref="AU279" r:id="rId31" display="http://www.yobrew.co.uk/"/>
    <hyperlink ref="AU278" r:id="rId32" display="mailto:david.barrow@live.co.uk"/>
    <hyperlink ref="AU277" r:id="rId33" display="http://www.petespintpot.co.uk/"/>
    <hyperlink ref="I7:N7" location="'Wine Calc '!X7" display="'Wine Calc '!X7"/>
    <hyperlink ref="E7:F7" location="'Wine Calc '!G182" display="'Wine Calc '!G182"/>
    <hyperlink ref="D31" location="'Wine Calc '!X23" display="FLESH*"/>
    <hyperlink ref="P278" r:id="rId34" display="www.petespintpot.co.uk"/>
    <hyperlink ref="S270" r:id="rId35" display="www.petespintpot.co.uk"/>
    <hyperlink ref="S284" r:id="rId36" display="mailto:jamesbsmith@hotmail.com"/>
    <hyperlink ref="P211" r:id="rId37" display="david.barrow@live.co.uk"/>
    <hyperlink ref="M229" location="'Extract Calc'!A1" display="(For details, see the &quot;Extract Calc.&quot;)"/>
    <hyperlink ref="N229" location="'Extract Calc'!A1" display="(For details, see the &quot;Extract Calc.&quot;)"/>
    <hyperlink ref="O229" location="'Extract Calc'!A1" display="(For details, see the &quot;Extract Calc.&quot;)"/>
    <hyperlink ref="G222" location="'Beer Calc'!A141" display="Technical Section"/>
    <hyperlink ref="H222" location="'Beer Calc'!A141" display="Technical Section"/>
    <hyperlink ref="I222" location="'Beer Calc'!A141" display="Technical Section"/>
    <hyperlink ref="J222" location="'Beer Calc'!A141" display="Technical Section"/>
    <hyperlink ref="K222" location="'Beer Calc'!A141" display="Technical Section"/>
    <hyperlink ref="L222" location="'Beer Calc'!A141" display="Technical Section"/>
    <hyperlink ref="F260" location="'Beer Calc'!M57" display="'Beer Calc'!M57"/>
    <hyperlink ref="AD263" r:id="rId38" display="www.petespintpot.co.uk"/>
    <hyperlink ref="F265" location="'Primer'!A1" display="Priming Chart For Beers"/>
    <hyperlink ref="G265" location="'Primer'!A1" display="Priming Chart For Beers"/>
    <hyperlink ref="H265" location="'Primer'!A1" display="Priming Chart For Beers"/>
    <hyperlink ref="H266" location="'Beer Data Sheet'!AP2" display="(76% nominally)"/>
    <hyperlink ref="I266" location="'Beer Data Sheet'!AP2" display="(76% nominally)"/>
    <hyperlink ref="J266" location="'Beer Data Sheet'!AP2" display="(76% nominally)"/>
    <hyperlink ref="H267" location="'Beer Calc'!AL2" display="(76% nominally)"/>
    <hyperlink ref="H269" location="'Beer Data Sheet'!O8" display="This section is used for &quot;Un-fermentable sugar reduction&quot; only."/>
    <hyperlink ref="I269" location="'Beer Data Sheet'!O8" display="This section is used for &quot;Un-fermentable sugar reduction&quot; only."/>
    <hyperlink ref="J269" location="'Beer Data Sheet'!O8" display="This section is used for &quot;Un-fermentable sugar reduction&quot; only."/>
    <hyperlink ref="R270" location="'Beer Data Sheet'!P8" display="See &quot;Beer Data Sheet&quot; cells P8 etc."/>
    <hyperlink ref="M215:N215" location="'Beer Data Sheet'!O20" display="1 tsp sugar"/>
    <hyperlink ref="O188:P188" location="'Wine Calc '!B278" display="Technical Section."/>
    <hyperlink ref="O207:P207" location="'Wine Calc '!B278" display="Technical Section."/>
  </hyperlinks>
  <printOptions horizontalCentered="1"/>
  <pageMargins left="0.55" right="0.48" top="0.5905511811023623" bottom="0.5511811023622047" header="0.4330708661417323" footer="0.5118110236220472"/>
  <pageSetup fitToHeight="3" fitToWidth="1" horizontalDpi="300" verticalDpi="300" orientation="portrait" paperSize="9" scale="56" r:id="rId40"/>
  <rowBreaks count="2" manualBreakCount="2">
    <brk id="97" max="21" man="1"/>
    <brk id="195" max="21" man="1"/>
  </rowBreaks>
  <ignoredErrors>
    <ignoredError sqref="G142" formula="1"/>
  </ignoredErrors>
  <drawing r:id="rId39"/>
</worksheet>
</file>

<file path=xl/worksheets/sheet8.xml><?xml version="1.0" encoding="utf-8"?>
<worksheet xmlns="http://schemas.openxmlformats.org/spreadsheetml/2006/main" xmlns:r="http://schemas.openxmlformats.org/officeDocument/2006/relationships">
  <sheetPr>
    <tabColor indexed="10"/>
    <pageSetUpPr fitToPage="1"/>
  </sheetPr>
  <dimension ref="A1:T106"/>
  <sheetViews>
    <sheetView tabSelected="1" zoomScale="75" zoomScaleNormal="75" zoomScaleSheetLayoutView="100" zoomScalePageLayoutView="0" workbookViewId="0" topLeftCell="B1">
      <pane ySplit="19" topLeftCell="BM20" activePane="bottomLeft" state="frozen"/>
      <selection pane="topLeft" activeCell="A1" sqref="A1"/>
      <selection pane="bottomLeft" activeCell="F85" sqref="F85:P85"/>
    </sheetView>
  </sheetViews>
  <sheetFormatPr defaultColWidth="9.140625" defaultRowHeight="15"/>
  <cols>
    <col min="1" max="1" width="20.140625" style="1659" customWidth="1"/>
    <col min="2" max="2" width="10.00390625" style="1659" customWidth="1"/>
    <col min="3" max="6" width="7.00390625" style="1659" customWidth="1"/>
    <col min="7" max="7" width="7.140625" style="1659" customWidth="1"/>
    <col min="8" max="9" width="7.00390625" style="1663" customWidth="1"/>
    <col min="10" max="10" width="6.8515625" style="1663" customWidth="1"/>
    <col min="11" max="13" width="6.421875" style="1659" hidden="1" customWidth="1"/>
    <col min="14" max="14" width="7.140625" style="1659" customWidth="1"/>
    <col min="15" max="15" width="7.28125" style="1659" hidden="1" customWidth="1"/>
    <col min="16" max="16" width="9.57421875" style="1659" customWidth="1"/>
    <col min="17" max="17" width="9.00390625" style="1663" customWidth="1"/>
    <col min="18" max="18" width="41.57421875" style="1663" customWidth="1"/>
    <col min="19" max="19" width="22.421875" style="1663" customWidth="1"/>
    <col min="20" max="20" width="2.421875" style="1663" customWidth="1"/>
    <col min="21" max="16384" width="9.140625" style="2268" customWidth="1"/>
  </cols>
  <sheetData>
    <row r="1" spans="1:20" ht="17.25">
      <c r="A1" s="2402" t="s">
        <v>451</v>
      </c>
      <c r="B1" s="2403"/>
      <c r="C1" s="2404"/>
      <c r="D1" s="2404"/>
      <c r="E1" s="2404"/>
      <c r="F1" s="2404"/>
      <c r="G1" s="2404"/>
      <c r="H1" s="2404"/>
      <c r="I1" s="3121" t="s">
        <v>587</v>
      </c>
      <c r="J1" s="3121"/>
      <c r="K1" s="3121"/>
      <c r="L1" s="3121"/>
      <c r="M1" s="3121"/>
      <c r="N1" s="3121"/>
      <c r="O1" s="3121"/>
      <c r="P1" s="3121"/>
      <c r="Q1" s="3121"/>
      <c r="R1" s="2404"/>
      <c r="S1" s="2405" t="s">
        <v>568</v>
      </c>
      <c r="T1" s="2406"/>
    </row>
    <row r="2" spans="1:20" ht="15.75" customHeight="1">
      <c r="A2" s="2402"/>
      <c r="B2" s="2404"/>
      <c r="C2" s="2404"/>
      <c r="D2" s="2404"/>
      <c r="E2" s="2404"/>
      <c r="F2" s="2404"/>
      <c r="G2" s="2404"/>
      <c r="H2" s="2404"/>
      <c r="I2" s="2404"/>
      <c r="J2" s="2404"/>
      <c r="K2" s="2404"/>
      <c r="L2" s="2404"/>
      <c r="M2" s="2404"/>
      <c r="N2" s="2404"/>
      <c r="O2" s="2404"/>
      <c r="P2" s="2404"/>
      <c r="Q2" s="2404"/>
      <c r="R2" s="2404"/>
      <c r="S2" s="2407" t="s">
        <v>319</v>
      </c>
      <c r="T2" s="2406"/>
    </row>
    <row r="3" spans="1:20" ht="14.25" customHeight="1">
      <c r="A3" s="2402"/>
      <c r="B3" s="2408" t="s">
        <v>105</v>
      </c>
      <c r="C3" s="2408" t="s">
        <v>272</v>
      </c>
      <c r="D3" s="2408" t="s">
        <v>290</v>
      </c>
      <c r="E3" s="2409"/>
      <c r="F3" s="2408" t="s">
        <v>744</v>
      </c>
      <c r="G3" s="2410" t="s">
        <v>29</v>
      </c>
      <c r="H3" s="2408" t="s">
        <v>306</v>
      </c>
      <c r="I3" s="2409"/>
      <c r="J3" s="2408" t="s">
        <v>744</v>
      </c>
      <c r="K3" s="2411" t="s">
        <v>495</v>
      </c>
      <c r="L3" s="2411" t="s">
        <v>495</v>
      </c>
      <c r="M3" s="2411" t="s">
        <v>495</v>
      </c>
      <c r="N3" s="2410" t="s">
        <v>30</v>
      </c>
      <c r="O3" s="2412"/>
      <c r="P3" s="2408" t="s">
        <v>306</v>
      </c>
      <c r="Q3" s="2406"/>
      <c r="R3" s="3100" t="s">
        <v>616</v>
      </c>
      <c r="S3" s="2407"/>
      <c r="T3" s="2413"/>
    </row>
    <row r="4" spans="1:20" ht="14.25" customHeight="1">
      <c r="A4" s="2402"/>
      <c r="B4" s="2449">
        <f>C4/28.3495</f>
        <v>0.03527399072294044</v>
      </c>
      <c r="C4" s="2444">
        <v>1</v>
      </c>
      <c r="D4" s="2447">
        <f>C4*28.3495</f>
        <v>28.3495</v>
      </c>
      <c r="E4" s="2409"/>
      <c r="F4" s="2450">
        <f>G4/28.41306</f>
        <v>6.933431316443917</v>
      </c>
      <c r="G4" s="2444">
        <v>197</v>
      </c>
      <c r="H4" s="2448">
        <f>G4*28.41306</f>
        <v>5597.3728200000005</v>
      </c>
      <c r="I4" s="2414"/>
      <c r="J4" s="2450">
        <f>N4/29.57353</f>
        <v>0.03381402220161069</v>
      </c>
      <c r="K4" s="2415"/>
      <c r="L4" s="2415"/>
      <c r="M4" s="2416"/>
      <c r="N4" s="2444">
        <v>1</v>
      </c>
      <c r="O4" s="2417"/>
      <c r="P4" s="2448">
        <f>N4*29.57353</f>
        <v>29.57353</v>
      </c>
      <c r="Q4" s="2406"/>
      <c r="R4" s="3100"/>
      <c r="S4" s="2407"/>
      <c r="T4" s="2413"/>
    </row>
    <row r="5" spans="1:20" ht="9" customHeight="1">
      <c r="A5" s="2402"/>
      <c r="B5" s="2418"/>
      <c r="C5" s="2418"/>
      <c r="D5" s="2418"/>
      <c r="E5" s="2419"/>
      <c r="F5" s="1752"/>
      <c r="G5" s="2418"/>
      <c r="H5" s="1752"/>
      <c r="I5" s="2420"/>
      <c r="J5" s="1752"/>
      <c r="K5" s="2415"/>
      <c r="L5" s="2415"/>
      <c r="M5" s="2420"/>
      <c r="N5" s="2418"/>
      <c r="O5" s="2421"/>
      <c r="P5" s="1752"/>
      <c r="Q5" s="2406"/>
      <c r="R5" s="3100"/>
      <c r="S5" s="2407"/>
      <c r="T5" s="2406"/>
    </row>
    <row r="6" spans="1:20" ht="13.5">
      <c r="A6" s="3126" t="str">
        <f>"This calculator assumes that 1ml = "&amp;Q6&amp;" fl oz, it is the average for the Imperial &amp; US figures. You can substitute your own figures in here, 1ml ="</f>
        <v>This calculator assumes that 1ml = 28.993 fl oz, it is the average for the Imperial &amp; US figures. You can substitute your own figures in here, 1ml =</v>
      </c>
      <c r="B6" s="3126"/>
      <c r="C6" s="3126"/>
      <c r="D6" s="3126"/>
      <c r="E6" s="3126"/>
      <c r="F6" s="3126"/>
      <c r="G6" s="3126"/>
      <c r="H6" s="3126"/>
      <c r="I6" s="3126"/>
      <c r="J6" s="3126"/>
      <c r="K6" s="3126"/>
      <c r="L6" s="3126"/>
      <c r="M6" s="3126"/>
      <c r="N6" s="3126"/>
      <c r="O6" s="3126"/>
      <c r="P6" s="3126"/>
      <c r="Q6" s="2445">
        <v>28.993</v>
      </c>
      <c r="R6" s="2422" t="s">
        <v>1260</v>
      </c>
      <c r="S6" s="2423"/>
      <c r="T6" s="2406"/>
    </row>
    <row r="7" spans="1:20" ht="8.25" customHeight="1">
      <c r="A7" s="2402"/>
      <c r="B7" s="2418"/>
      <c r="C7" s="2418"/>
      <c r="D7" s="2418"/>
      <c r="E7" s="2424"/>
      <c r="F7" s="1752"/>
      <c r="G7" s="2418"/>
      <c r="H7" s="1752"/>
      <c r="I7" s="2420"/>
      <c r="J7" s="1752"/>
      <c r="K7" s="2415"/>
      <c r="L7" s="2415"/>
      <c r="M7" s="2420"/>
      <c r="N7" s="2418"/>
      <c r="O7" s="2421"/>
      <c r="P7" s="1752"/>
      <c r="Q7" s="2406"/>
      <c r="R7" s="2406"/>
      <c r="S7" s="2428"/>
      <c r="T7" s="2406"/>
    </row>
    <row r="8" spans="1:20" ht="13.5">
      <c r="A8" s="2402"/>
      <c r="B8" s="2419"/>
      <c r="C8" s="2429" t="s">
        <v>450</v>
      </c>
      <c r="D8" s="2429"/>
      <c r="E8" s="2429" t="s">
        <v>123</v>
      </c>
      <c r="F8" s="2419"/>
      <c r="G8" s="2419"/>
      <c r="H8" s="2406"/>
      <c r="I8" s="2406"/>
      <c r="J8" s="2406"/>
      <c r="K8" s="2430" t="s">
        <v>429</v>
      </c>
      <c r="L8" s="2430" t="s">
        <v>429</v>
      </c>
      <c r="M8" s="2430" t="s">
        <v>429</v>
      </c>
      <c r="N8" s="2431"/>
      <c r="O8" s="2430"/>
      <c r="P8" s="2432"/>
      <c r="Q8" s="2422"/>
      <c r="R8" s="2406"/>
      <c r="S8" s="2423"/>
      <c r="T8" s="2406"/>
    </row>
    <row r="9" spans="1:20" ht="15" customHeight="1">
      <c r="A9" s="3124" t="s">
        <v>614</v>
      </c>
      <c r="B9" s="3124"/>
      <c r="C9" s="2446">
        <f>E9/28.3495</f>
        <v>173.19529444963757</v>
      </c>
      <c r="D9" s="2419" t="s">
        <v>105</v>
      </c>
      <c r="E9" s="2434" t="str">
        <f>FIXED((SUM(O23:O84)),-1)</f>
        <v>4,910</v>
      </c>
      <c r="F9" s="2435" t="s">
        <v>290</v>
      </c>
      <c r="G9" s="2419"/>
      <c r="H9" s="2406"/>
      <c r="I9" s="2406"/>
      <c r="J9" s="2406"/>
      <c r="K9" s="2419"/>
      <c r="L9" s="2419"/>
      <c r="M9" s="2419"/>
      <c r="N9" s="2419"/>
      <c r="O9" s="2436"/>
      <c r="P9" s="2436"/>
      <c r="Q9" s="2437"/>
      <c r="R9" s="2438" t="s">
        <v>621</v>
      </c>
      <c r="S9" s="2407"/>
      <c r="T9" s="2406"/>
    </row>
    <row r="10" spans="1:20" ht="15" customHeight="1">
      <c r="A10" s="3125" t="s">
        <v>615</v>
      </c>
      <c r="B10" s="3125"/>
      <c r="C10" s="2446">
        <f>E10/25.77</f>
        <v>7.760962359332558</v>
      </c>
      <c r="D10" s="2419" t="s">
        <v>95</v>
      </c>
      <c r="E10" s="2434" t="str">
        <f>FIXED((10+SUM(M23:M84)),-1)</f>
        <v>200</v>
      </c>
      <c r="F10" s="2435" t="s">
        <v>306</v>
      </c>
      <c r="G10" s="2419"/>
      <c r="H10" s="2406"/>
      <c r="I10" s="2406"/>
      <c r="J10" s="2406"/>
      <c r="K10" s="2419"/>
      <c r="L10" s="2419"/>
      <c r="M10" s="2419"/>
      <c r="N10" s="2419"/>
      <c r="O10" s="2436"/>
      <c r="P10" s="2436"/>
      <c r="Q10" s="2439"/>
      <c r="R10" s="2438" t="s">
        <v>692</v>
      </c>
      <c r="S10" s="2440"/>
      <c r="T10" s="2406"/>
    </row>
    <row r="11" spans="1:20" ht="9" customHeight="1">
      <c r="A11" s="2433"/>
      <c r="B11" s="2433"/>
      <c r="C11" s="2433"/>
      <c r="D11" s="2419"/>
      <c r="E11" s="2441"/>
      <c r="F11" s="2433"/>
      <c r="G11" s="2433"/>
      <c r="H11" s="2433"/>
      <c r="I11" s="2433"/>
      <c r="J11" s="2433"/>
      <c r="K11" s="2433"/>
      <c r="L11" s="2433"/>
      <c r="M11" s="2442"/>
      <c r="N11" s="2443"/>
      <c r="O11" s="2443"/>
      <c r="P11" s="2443"/>
      <c r="Q11" s="2435"/>
      <c r="R11" s="2433"/>
      <c r="S11" s="2440"/>
      <c r="T11" s="2406"/>
    </row>
    <row r="12" spans="1:20" ht="15" customHeight="1">
      <c r="A12" s="3122" t="s">
        <v>1146</v>
      </c>
      <c r="B12" s="3122"/>
      <c r="C12" s="1753"/>
      <c r="D12" s="1658" t="s">
        <v>105</v>
      </c>
      <c r="E12" s="1677">
        <f>C12*28.3495</f>
        <v>0</v>
      </c>
      <c r="F12" s="3105" t="str">
        <f>"g = "&amp;FIXED((C12*28.3495)/4.75)&amp;" level 5ml tsp. approx."</f>
        <v>g = 0.00 level 5ml tsp. approx.</v>
      </c>
      <c r="G12" s="3105"/>
      <c r="H12" s="3105"/>
      <c r="I12" s="3105"/>
      <c r="J12" s="1676"/>
      <c r="K12" s="1611"/>
      <c r="L12" s="1611"/>
      <c r="M12" s="1611"/>
      <c r="N12" s="1611"/>
      <c r="O12" s="1611"/>
      <c r="P12" s="1611"/>
      <c r="Q12" s="1611"/>
      <c r="R12" s="1611"/>
      <c r="S12" s="1612"/>
      <c r="T12" s="1597"/>
    </row>
    <row r="13" spans="1:20" ht="15" customHeight="1">
      <c r="A13" s="3105" t="s">
        <v>617</v>
      </c>
      <c r="B13" s="3105"/>
      <c r="C13" s="1753"/>
      <c r="D13" s="1658" t="s">
        <v>105</v>
      </c>
      <c r="E13" s="1677">
        <f>C13*28.3495</f>
        <v>0</v>
      </c>
      <c r="F13" s="3105" t="str">
        <f>"g = "&amp;FIXED(C13*28.3495/4.5)&amp;" level 5ml tsp. approx."</f>
        <v>g = 0.00 level 5ml tsp. approx.</v>
      </c>
      <c r="G13" s="3105"/>
      <c r="H13" s="3105"/>
      <c r="I13" s="3105"/>
      <c r="J13" s="3123" t="s">
        <v>240</v>
      </c>
      <c r="K13" s="3123"/>
      <c r="L13" s="3123"/>
      <c r="M13" s="3123"/>
      <c r="N13" s="3123"/>
      <c r="O13" s="3123"/>
      <c r="P13" s="3123"/>
      <c r="Q13" s="3123"/>
      <c r="R13" s="3123"/>
      <c r="S13" s="1611"/>
      <c r="T13" s="1597"/>
    </row>
    <row r="14" spans="1:20" ht="13.5">
      <c r="A14" s="1608"/>
      <c r="B14" s="1608"/>
      <c r="C14" s="1608"/>
      <c r="E14" s="1608" t="s">
        <v>348</v>
      </c>
      <c r="F14" s="3105" t="str">
        <f>FIXED(3*C13*28.3495/4.5)&amp;" 5ml tsp liquid pectin approx."</f>
        <v>0.00 5ml tsp liquid pectin approx.</v>
      </c>
      <c r="G14" s="3105"/>
      <c r="H14" s="3105"/>
      <c r="I14" s="3105"/>
      <c r="J14" s="1664"/>
      <c r="K14" s="1611"/>
      <c r="L14" s="1611"/>
      <c r="M14" s="1611"/>
      <c r="N14" s="1611"/>
      <c r="O14" s="1611"/>
      <c r="P14" s="1611"/>
      <c r="Q14" s="1611"/>
      <c r="R14" s="1611"/>
      <c r="S14" s="1612"/>
      <c r="T14" s="1597"/>
    </row>
    <row r="15" spans="1:20" ht="8.25" customHeight="1">
      <c r="A15" s="1608"/>
      <c r="B15" s="1608"/>
      <c r="C15" s="1608"/>
      <c r="D15" s="1608"/>
      <c r="E15" s="1608"/>
      <c r="F15" s="1604"/>
      <c r="G15" s="1610"/>
      <c r="H15" s="1610"/>
      <c r="I15" s="1610"/>
      <c r="J15" s="1611"/>
      <c r="K15" s="1611"/>
      <c r="L15" s="1611"/>
      <c r="M15" s="1611"/>
      <c r="N15" s="1611"/>
      <c r="O15" s="1611"/>
      <c r="P15" s="1611"/>
      <c r="Q15" s="1612"/>
      <c r="R15" s="1612"/>
      <c r="S15" s="1602"/>
      <c r="T15" s="1597"/>
    </row>
    <row r="16" spans="1:20" ht="15" customHeight="1">
      <c r="A16" s="3105" t="s">
        <v>618</v>
      </c>
      <c r="B16" s="3105"/>
      <c r="C16" s="1677">
        <f>(C12*28.3495+SUM(L23:L84))/28.3495</f>
        <v>3.0960000000000005</v>
      </c>
      <c r="D16" s="1604" t="s">
        <v>105</v>
      </c>
      <c r="E16" s="1607">
        <f>C16*28.3495</f>
        <v>87.770052</v>
      </c>
      <c r="F16" s="3106" t="str">
        <f>"g = "&amp;FIXED(100*$E$16/$E$18)&amp;"%. Which is"</f>
        <v>g = 1.12%. Which is</v>
      </c>
      <c r="G16" s="3106"/>
      <c r="H16" s="3106"/>
      <c r="I16" s="3103" t="str">
        <f>IF((100*$E$16/$E$18)&gt;1.3,"Very High",IF((100*$E$16/$E$18)&gt;1.1,"High",IF((100*$E$16/$E$18)&gt;0.69,"Medium",IF((100*$E$16/$E$18)&gt;0.49,"Low",IF((100*$E$16/$E$18)&gt;0,"Very Low")))))</f>
        <v>High</v>
      </c>
      <c r="J16" s="3103"/>
      <c r="K16" s="1611"/>
      <c r="L16" s="1611"/>
      <c r="M16" s="1611"/>
      <c r="N16" s="3104" t="s">
        <v>204</v>
      </c>
      <c r="O16" s="3104"/>
      <c r="P16" s="3104"/>
      <c r="Q16" s="3104"/>
      <c r="R16" s="3104"/>
      <c r="S16" s="1614"/>
      <c r="T16" s="1613"/>
    </row>
    <row r="17" spans="1:20" ht="13.5">
      <c r="A17" s="3105" t="s">
        <v>619</v>
      </c>
      <c r="B17" s="3105"/>
      <c r="C17" s="1677">
        <f>(C13*28.3495+SUM(K23:K84))/28.3495</f>
        <v>1.8448</v>
      </c>
      <c r="D17" s="1604" t="s">
        <v>105</v>
      </c>
      <c r="E17" s="1607">
        <f>C17*28.3495</f>
        <v>52.2991576</v>
      </c>
      <c r="F17" s="3106" t="str">
        <f>"g = "&amp;FIXED(100*$E$17/$E$18)&amp;"%. Which is"</f>
        <v>g = 0.66%. Which is</v>
      </c>
      <c r="G17" s="3106"/>
      <c r="H17" s="3106"/>
      <c r="I17" s="3103" t="str">
        <f>IF((100*$E$17/$E$18)&gt;0.89,"Very High",IF((100*$E$17/$E$18)&gt;0.59,"High",IF((100*$E$17/$E$18)&gt;0.29,"Medium",IF((100*$E$17/$E$18)&gt;0.19,"Low",IF((100*$E$17/$E$18)&gt;0,"Very Low")))))</f>
        <v>High</v>
      </c>
      <c r="J17" s="3103"/>
      <c r="K17" s="1597"/>
      <c r="L17" s="1601"/>
      <c r="M17" s="1601"/>
      <c r="N17" s="3104"/>
      <c r="O17" s="3104"/>
      <c r="P17" s="3104"/>
      <c r="Q17" s="3104"/>
      <c r="R17" s="3104"/>
      <c r="S17" s="1614"/>
      <c r="T17" s="1613"/>
    </row>
    <row r="18" spans="1:20" ht="14.25">
      <c r="A18" s="3105" t="s">
        <v>1147</v>
      </c>
      <c r="B18" s="3105"/>
      <c r="C18" s="1605">
        <f>E18/Q6</f>
        <v>271.4448315110544</v>
      </c>
      <c r="D18" s="1604" t="s">
        <v>95</v>
      </c>
      <c r="E18" s="1605" t="str">
        <f>FIXED((0.625*E9+E10+SUM(G23:G84)),-1)</f>
        <v>7,870</v>
      </c>
      <c r="F18" s="3105" t="s">
        <v>625</v>
      </c>
      <c r="G18" s="3105"/>
      <c r="H18" s="1615"/>
      <c r="I18" s="1605"/>
      <c r="J18" s="1603"/>
      <c r="K18" s="1597"/>
      <c r="L18" s="1601"/>
      <c r="M18" s="1601"/>
      <c r="N18" s="1600"/>
      <c r="O18" s="1601"/>
      <c r="P18" s="1601"/>
      <c r="Q18" s="1597"/>
      <c r="R18" s="1616"/>
      <c r="S18" s="1602"/>
      <c r="T18" s="1597"/>
    </row>
    <row r="19" spans="1:20" ht="14.25">
      <c r="A19" s="3108" t="s">
        <v>620</v>
      </c>
      <c r="B19" s="3109"/>
      <c r="C19" s="1672">
        <f>3*E18/Q6</f>
        <v>814.3344945331633</v>
      </c>
      <c r="D19" s="1673" t="s">
        <v>95</v>
      </c>
      <c r="E19" s="1674">
        <f>0.003*E18</f>
        <v>23.61</v>
      </c>
      <c r="F19" s="3120" t="s">
        <v>1261</v>
      </c>
      <c r="G19" s="3120"/>
      <c r="H19" s="3120"/>
      <c r="I19" s="3120"/>
      <c r="J19" s="3120"/>
      <c r="K19" s="3120"/>
      <c r="L19" s="3120"/>
      <c r="M19" s="3120"/>
      <c r="N19" s="3120"/>
      <c r="O19" s="1601"/>
      <c r="P19" s="1617"/>
      <c r="Q19" s="1618"/>
      <c r="R19" s="1616"/>
      <c r="S19" s="1602"/>
      <c r="T19" s="1597"/>
    </row>
    <row r="20" spans="1:20" ht="6" customHeight="1">
      <c r="A20" s="1598"/>
      <c r="B20" s="1599"/>
      <c r="C20" s="1599"/>
      <c r="D20" s="1599"/>
      <c r="E20" s="1599"/>
      <c r="F20" s="1599"/>
      <c r="G20" s="1599"/>
      <c r="H20" s="1597"/>
      <c r="I20" s="1597"/>
      <c r="J20" s="1597"/>
      <c r="K20" s="1597"/>
      <c r="L20" s="1601"/>
      <c r="M20" s="1601"/>
      <c r="N20" s="1601"/>
      <c r="O20" s="1601"/>
      <c r="P20" s="1601"/>
      <c r="Q20" s="1662"/>
      <c r="R20" s="1662"/>
      <c r="S20" s="1602"/>
      <c r="T20" s="1597"/>
    </row>
    <row r="21" spans="1:20" ht="15" customHeight="1">
      <c r="A21" s="3113" t="s">
        <v>588</v>
      </c>
      <c r="B21" s="3114"/>
      <c r="C21" s="3116" t="s">
        <v>272</v>
      </c>
      <c r="D21" s="3117"/>
      <c r="E21" s="1619" t="s">
        <v>272</v>
      </c>
      <c r="F21" s="1619" t="s">
        <v>589</v>
      </c>
      <c r="G21" s="1619" t="s">
        <v>590</v>
      </c>
      <c r="H21" s="1620" t="s">
        <v>591</v>
      </c>
      <c r="I21" s="1621" t="s">
        <v>705</v>
      </c>
      <c r="J21" s="1622" t="s">
        <v>592</v>
      </c>
      <c r="K21" s="1623" t="s">
        <v>705</v>
      </c>
      <c r="L21" s="1623" t="s">
        <v>286</v>
      </c>
      <c r="M21" s="1624" t="s">
        <v>592</v>
      </c>
      <c r="N21" s="1622" t="s">
        <v>702</v>
      </c>
      <c r="O21" s="1625" t="s">
        <v>702</v>
      </c>
      <c r="P21" s="1622" t="s">
        <v>593</v>
      </c>
      <c r="Q21" s="1662"/>
      <c r="R21" s="1662"/>
      <c r="S21" s="1597"/>
      <c r="T21" s="1597"/>
    </row>
    <row r="22" spans="1:20" ht="13.5">
      <c r="A22" s="3115"/>
      <c r="B22" s="3114"/>
      <c r="C22" s="1552" t="s">
        <v>531</v>
      </c>
      <c r="D22" s="1553" t="s">
        <v>105</v>
      </c>
      <c r="E22" s="1626" t="s">
        <v>290</v>
      </c>
      <c r="F22" s="1626" t="s">
        <v>594</v>
      </c>
      <c r="G22" s="1626" t="s">
        <v>272</v>
      </c>
      <c r="H22" s="1626" t="s">
        <v>291</v>
      </c>
      <c r="I22" s="1627" t="s">
        <v>291</v>
      </c>
      <c r="J22" s="1628" t="s">
        <v>594</v>
      </c>
      <c r="K22" s="1629" t="s">
        <v>290</v>
      </c>
      <c r="L22" s="1629" t="s">
        <v>290</v>
      </c>
      <c r="M22" s="1630" t="s">
        <v>595</v>
      </c>
      <c r="N22" s="1628" t="s">
        <v>594</v>
      </c>
      <c r="O22" s="1631" t="s">
        <v>1148</v>
      </c>
      <c r="P22" s="1628" t="s">
        <v>596</v>
      </c>
      <c r="Q22" s="1662"/>
      <c r="R22" s="1662"/>
      <c r="S22" s="1597"/>
      <c r="T22" s="1597"/>
    </row>
    <row r="23" spans="1:20" ht="13.5">
      <c r="A23" s="1632" t="s">
        <v>746</v>
      </c>
      <c r="B23" s="1633" t="s">
        <v>747</v>
      </c>
      <c r="C23" s="1671">
        <v>10</v>
      </c>
      <c r="D23" s="1671"/>
      <c r="E23" s="1675">
        <f aca="true" t="shared" si="0" ref="E23:E84">(C23*16+D23)*28.3495</f>
        <v>4535.92</v>
      </c>
      <c r="F23" s="1634">
        <v>1.2</v>
      </c>
      <c r="G23" s="1635">
        <f aca="true" t="shared" si="1" ref="G23:G54">IF(F23=0,0,E23/F23)</f>
        <v>3779.9333333333334</v>
      </c>
      <c r="H23" s="1636">
        <v>1.2</v>
      </c>
      <c r="I23" s="1636">
        <v>0.75</v>
      </c>
      <c r="J23" s="1637">
        <v>0</v>
      </c>
      <c r="K23" s="1638">
        <f aca="true" t="shared" si="2" ref="K23:K39">0.01*E23*F23*I23</f>
        <v>40.823280000000004</v>
      </c>
      <c r="L23" s="1638">
        <f aca="true" t="shared" si="3" ref="L23:L39">0.01*E23*F23*H23</f>
        <v>65.317248</v>
      </c>
      <c r="M23" s="1639">
        <f aca="true" t="shared" si="4" ref="M23:M54">J23*G23</f>
        <v>0</v>
      </c>
      <c r="N23" s="1637">
        <v>1</v>
      </c>
      <c r="O23" s="1638">
        <f aca="true" t="shared" si="5" ref="O23:O54">G23*N23</f>
        <v>3779.9333333333334</v>
      </c>
      <c r="P23" s="1638">
        <v>30</v>
      </c>
      <c r="Q23" s="1606"/>
      <c r="R23" s="1606"/>
      <c r="S23" s="1640"/>
      <c r="T23" s="1597"/>
    </row>
    <row r="24" spans="1:20" ht="13.5">
      <c r="A24" s="1632"/>
      <c r="B24" s="1633" t="s">
        <v>750</v>
      </c>
      <c r="C24" s="1654"/>
      <c r="D24" s="1654"/>
      <c r="E24" s="1675">
        <f t="shared" si="0"/>
        <v>0</v>
      </c>
      <c r="F24" s="1641">
        <v>1.2</v>
      </c>
      <c r="G24" s="1642">
        <f t="shared" si="1"/>
        <v>0</v>
      </c>
      <c r="H24" s="1633">
        <v>0.7</v>
      </c>
      <c r="I24" s="1643">
        <v>0.7</v>
      </c>
      <c r="J24" s="1644">
        <v>0</v>
      </c>
      <c r="K24" s="1645">
        <f t="shared" si="2"/>
        <v>0</v>
      </c>
      <c r="L24" s="1645">
        <f t="shared" si="3"/>
        <v>0</v>
      </c>
      <c r="M24" s="1646">
        <f t="shared" si="4"/>
        <v>0</v>
      </c>
      <c r="N24" s="1644">
        <v>1</v>
      </c>
      <c r="O24" s="1645">
        <f t="shared" si="5"/>
        <v>0</v>
      </c>
      <c r="P24" s="1645">
        <v>30</v>
      </c>
      <c r="Q24" s="1606"/>
      <c r="R24" s="1606"/>
      <c r="S24" s="1640"/>
      <c r="T24" s="1597"/>
    </row>
    <row r="25" spans="1:20" ht="13.5">
      <c r="A25" s="1632" t="s">
        <v>756</v>
      </c>
      <c r="B25" s="1632" t="s">
        <v>597</v>
      </c>
      <c r="C25" s="1654"/>
      <c r="D25" s="1654"/>
      <c r="E25" s="1675">
        <f t="shared" si="0"/>
        <v>0</v>
      </c>
      <c r="F25" s="1641">
        <v>1.1</v>
      </c>
      <c r="G25" s="1642">
        <f t="shared" si="1"/>
        <v>0</v>
      </c>
      <c r="H25" s="1633">
        <v>1.2</v>
      </c>
      <c r="I25" s="1643">
        <v>0.35</v>
      </c>
      <c r="J25" s="1644">
        <v>0.09</v>
      </c>
      <c r="K25" s="1645">
        <f t="shared" si="2"/>
        <v>0</v>
      </c>
      <c r="L25" s="1645">
        <f t="shared" si="3"/>
        <v>0</v>
      </c>
      <c r="M25" s="1646">
        <f t="shared" si="4"/>
        <v>0</v>
      </c>
      <c r="N25" s="1644">
        <v>0.85</v>
      </c>
      <c r="O25" s="1645">
        <f t="shared" si="5"/>
        <v>0</v>
      </c>
      <c r="P25" s="1645">
        <v>35</v>
      </c>
      <c r="Q25" s="1606"/>
      <c r="R25" s="1606"/>
      <c r="S25" s="1640"/>
      <c r="T25" s="1597"/>
    </row>
    <row r="26" spans="1:20" ht="13.5">
      <c r="A26" s="1632"/>
      <c r="B26" s="1632" t="s">
        <v>598</v>
      </c>
      <c r="C26" s="1654"/>
      <c r="D26" s="1654"/>
      <c r="E26" s="1675">
        <f t="shared" si="0"/>
        <v>0</v>
      </c>
      <c r="F26" s="1641">
        <v>1.1</v>
      </c>
      <c r="G26" s="1642">
        <f t="shared" si="1"/>
        <v>0</v>
      </c>
      <c r="H26" s="1633">
        <v>1.2</v>
      </c>
      <c r="I26" s="1643">
        <v>0.35</v>
      </c>
      <c r="J26" s="1644">
        <v>0.15</v>
      </c>
      <c r="K26" s="1645">
        <f t="shared" si="2"/>
        <v>0</v>
      </c>
      <c r="L26" s="1645">
        <f t="shared" si="3"/>
        <v>0</v>
      </c>
      <c r="M26" s="1646">
        <f t="shared" si="4"/>
        <v>0</v>
      </c>
      <c r="N26" s="1644">
        <v>0.85</v>
      </c>
      <c r="O26" s="1645">
        <f t="shared" si="5"/>
        <v>0</v>
      </c>
      <c r="P26" s="1645">
        <v>35</v>
      </c>
      <c r="Q26" s="1606"/>
      <c r="R26" s="1606"/>
      <c r="S26" s="1640"/>
      <c r="T26" s="1597"/>
    </row>
    <row r="27" spans="1:20" ht="13.5">
      <c r="A27" s="1632"/>
      <c r="B27" s="1633" t="s">
        <v>758</v>
      </c>
      <c r="C27" s="1654"/>
      <c r="D27" s="1654"/>
      <c r="E27" s="1675">
        <f t="shared" si="0"/>
        <v>0</v>
      </c>
      <c r="F27" s="1641">
        <v>1</v>
      </c>
      <c r="G27" s="1642">
        <f t="shared" si="1"/>
        <v>0</v>
      </c>
      <c r="H27" s="1633">
        <v>3.6</v>
      </c>
      <c r="I27" s="1643">
        <v>1.05</v>
      </c>
      <c r="J27" s="1644">
        <v>3</v>
      </c>
      <c r="K27" s="1645">
        <f t="shared" si="2"/>
        <v>0</v>
      </c>
      <c r="L27" s="1645">
        <f t="shared" si="3"/>
        <v>0</v>
      </c>
      <c r="M27" s="1646">
        <f t="shared" si="4"/>
        <v>0</v>
      </c>
      <c r="N27" s="1644">
        <v>2</v>
      </c>
      <c r="O27" s="1645">
        <f t="shared" si="5"/>
        <v>0</v>
      </c>
      <c r="P27" s="1645" t="s">
        <v>599</v>
      </c>
      <c r="Q27" s="1606"/>
      <c r="R27" s="1606"/>
      <c r="S27" s="1640"/>
      <c r="T27" s="1597"/>
    </row>
    <row r="28" spans="1:20" ht="13.5">
      <c r="A28" s="1632" t="s">
        <v>759</v>
      </c>
      <c r="B28" s="1633" t="s">
        <v>757</v>
      </c>
      <c r="C28" s="1654"/>
      <c r="D28" s="1654"/>
      <c r="E28" s="1675">
        <f t="shared" si="0"/>
        <v>0</v>
      </c>
      <c r="F28" s="1641">
        <v>1.5</v>
      </c>
      <c r="G28" s="1642">
        <f t="shared" si="1"/>
        <v>0</v>
      </c>
      <c r="H28" s="1633">
        <v>0.35</v>
      </c>
      <c r="I28" s="1633">
        <v>0.55</v>
      </c>
      <c r="J28" s="1644">
        <v>0</v>
      </c>
      <c r="K28" s="1645">
        <f t="shared" si="2"/>
        <v>0</v>
      </c>
      <c r="L28" s="1645">
        <f t="shared" si="3"/>
        <v>0</v>
      </c>
      <c r="M28" s="1646">
        <f t="shared" si="4"/>
        <v>0</v>
      </c>
      <c r="N28" s="1644">
        <v>1</v>
      </c>
      <c r="O28" s="1645">
        <f t="shared" si="5"/>
        <v>0</v>
      </c>
      <c r="P28" s="1645">
        <v>30</v>
      </c>
      <c r="Q28" s="1606"/>
      <c r="R28" s="1606"/>
      <c r="S28" s="1640"/>
      <c r="T28" s="1597"/>
    </row>
    <row r="29" spans="1:20" ht="13.5">
      <c r="A29" s="1632" t="s">
        <v>760</v>
      </c>
      <c r="B29" s="1632"/>
      <c r="C29" s="1654"/>
      <c r="D29" s="1654"/>
      <c r="E29" s="1675">
        <f t="shared" si="0"/>
        <v>0</v>
      </c>
      <c r="F29" s="1641">
        <v>1</v>
      </c>
      <c r="G29" s="1642">
        <f t="shared" si="1"/>
        <v>0</v>
      </c>
      <c r="H29" s="1633">
        <v>0.95</v>
      </c>
      <c r="I29" s="1643">
        <v>0.8</v>
      </c>
      <c r="J29" s="1644">
        <v>0</v>
      </c>
      <c r="K29" s="1645">
        <f t="shared" si="2"/>
        <v>0</v>
      </c>
      <c r="L29" s="1645">
        <f t="shared" si="3"/>
        <v>0</v>
      </c>
      <c r="M29" s="1646">
        <f t="shared" si="4"/>
        <v>0</v>
      </c>
      <c r="N29" s="1644">
        <v>1</v>
      </c>
      <c r="O29" s="1645">
        <f t="shared" si="5"/>
        <v>0</v>
      </c>
      <c r="P29" s="1645">
        <v>20</v>
      </c>
      <c r="Q29" s="1606"/>
      <c r="R29" s="1606"/>
      <c r="S29" s="1640"/>
      <c r="T29" s="1597"/>
    </row>
    <row r="30" spans="1:20" ht="13.5">
      <c r="A30" s="1632" t="s">
        <v>761</v>
      </c>
      <c r="B30" s="1632"/>
      <c r="C30" s="1654"/>
      <c r="D30" s="1654"/>
      <c r="E30" s="1675">
        <f t="shared" si="0"/>
        <v>0</v>
      </c>
      <c r="F30" s="1641">
        <v>1</v>
      </c>
      <c r="G30" s="1642">
        <f t="shared" si="1"/>
        <v>0</v>
      </c>
      <c r="H30" s="1633">
        <v>1.1</v>
      </c>
      <c r="I30" s="1633">
        <v>0.8</v>
      </c>
      <c r="J30" s="1644">
        <v>0</v>
      </c>
      <c r="K30" s="1645">
        <f t="shared" si="2"/>
        <v>0</v>
      </c>
      <c r="L30" s="1645">
        <f t="shared" si="3"/>
        <v>0</v>
      </c>
      <c r="M30" s="1646">
        <f t="shared" si="4"/>
        <v>0</v>
      </c>
      <c r="N30" s="1644">
        <v>1</v>
      </c>
      <c r="O30" s="1645">
        <f t="shared" si="5"/>
        <v>0</v>
      </c>
      <c r="P30" s="1645">
        <v>25</v>
      </c>
      <c r="Q30" s="1606"/>
      <c r="R30" s="1606"/>
      <c r="S30" s="1640"/>
      <c r="T30" s="1597"/>
    </row>
    <row r="31" spans="1:20" ht="13.5">
      <c r="A31" s="1632" t="s">
        <v>763</v>
      </c>
      <c r="B31" s="1632"/>
      <c r="C31" s="1654"/>
      <c r="D31" s="1654"/>
      <c r="E31" s="1675">
        <f t="shared" si="0"/>
        <v>0</v>
      </c>
      <c r="F31" s="1641">
        <v>1</v>
      </c>
      <c r="G31" s="1642">
        <f t="shared" si="1"/>
        <v>0</v>
      </c>
      <c r="H31" s="1633">
        <v>3.5</v>
      </c>
      <c r="I31" s="1633">
        <v>1.1</v>
      </c>
      <c r="J31" s="1644">
        <v>0.4</v>
      </c>
      <c r="K31" s="1645">
        <f t="shared" si="2"/>
        <v>0</v>
      </c>
      <c r="L31" s="1645">
        <f t="shared" si="3"/>
        <v>0</v>
      </c>
      <c r="M31" s="1646">
        <f t="shared" si="4"/>
        <v>0</v>
      </c>
      <c r="N31" s="1644">
        <v>1.25</v>
      </c>
      <c r="O31" s="1645">
        <f t="shared" si="5"/>
        <v>0</v>
      </c>
      <c r="P31" s="1645" t="s">
        <v>600</v>
      </c>
      <c r="Q31" s="1606"/>
      <c r="R31" s="1606"/>
      <c r="S31" s="1640"/>
      <c r="T31" s="1597"/>
    </row>
    <row r="32" spans="1:20" ht="13.5">
      <c r="A32" s="1632" t="s">
        <v>764</v>
      </c>
      <c r="B32" s="1632"/>
      <c r="C32" s="1654"/>
      <c r="D32" s="1654"/>
      <c r="E32" s="1675">
        <f t="shared" si="0"/>
        <v>0</v>
      </c>
      <c r="F32" s="1641">
        <v>1</v>
      </c>
      <c r="G32" s="1642">
        <f t="shared" si="1"/>
        <v>0</v>
      </c>
      <c r="H32" s="1633">
        <v>0.3</v>
      </c>
      <c r="I32" s="1643">
        <v>0.8</v>
      </c>
      <c r="J32" s="1644">
        <v>0</v>
      </c>
      <c r="K32" s="1645">
        <f t="shared" si="2"/>
        <v>0</v>
      </c>
      <c r="L32" s="1645">
        <f t="shared" si="3"/>
        <v>0</v>
      </c>
      <c r="M32" s="1646">
        <f t="shared" si="4"/>
        <v>0</v>
      </c>
      <c r="N32" s="1644">
        <v>1</v>
      </c>
      <c r="O32" s="1645">
        <f t="shared" si="5"/>
        <v>0</v>
      </c>
      <c r="P32" s="1645">
        <v>20</v>
      </c>
      <c r="Q32" s="1606"/>
      <c r="R32" s="1606"/>
      <c r="S32" s="1640"/>
      <c r="T32" s="1597"/>
    </row>
    <row r="33" spans="1:20" ht="13.5">
      <c r="A33" s="1632" t="s">
        <v>765</v>
      </c>
      <c r="B33" s="1633" t="s">
        <v>766</v>
      </c>
      <c r="C33" s="1654"/>
      <c r="D33" s="1654"/>
      <c r="E33" s="1675">
        <f t="shared" si="0"/>
        <v>0</v>
      </c>
      <c r="F33" s="1641">
        <v>1.15</v>
      </c>
      <c r="G33" s="1642">
        <f t="shared" si="1"/>
        <v>0</v>
      </c>
      <c r="H33" s="1633">
        <v>0.5</v>
      </c>
      <c r="I33" s="1633">
        <v>0.25</v>
      </c>
      <c r="J33" s="1644">
        <v>0</v>
      </c>
      <c r="K33" s="1645">
        <f t="shared" si="2"/>
        <v>0</v>
      </c>
      <c r="L33" s="1645">
        <f t="shared" si="3"/>
        <v>0</v>
      </c>
      <c r="M33" s="1646">
        <f t="shared" si="4"/>
        <v>0</v>
      </c>
      <c r="N33" s="1644">
        <v>0.65</v>
      </c>
      <c r="O33" s="1645">
        <f t="shared" si="5"/>
        <v>0</v>
      </c>
      <c r="P33" s="1645" t="s">
        <v>601</v>
      </c>
      <c r="Q33" s="1606"/>
      <c r="R33" s="1606"/>
      <c r="S33" s="1640"/>
      <c r="T33" s="1597"/>
    </row>
    <row r="34" spans="1:20" ht="13.5">
      <c r="A34" s="1632"/>
      <c r="B34" s="1633" t="s">
        <v>767</v>
      </c>
      <c r="C34" s="1654"/>
      <c r="D34" s="1654"/>
      <c r="E34" s="1675">
        <f t="shared" si="0"/>
        <v>0</v>
      </c>
      <c r="F34" s="1641">
        <v>1.15</v>
      </c>
      <c r="G34" s="1642">
        <f t="shared" si="1"/>
        <v>0</v>
      </c>
      <c r="H34" s="1633">
        <v>0.5</v>
      </c>
      <c r="I34" s="1643">
        <v>0.25</v>
      </c>
      <c r="J34" s="1644">
        <v>0</v>
      </c>
      <c r="K34" s="1645">
        <f t="shared" si="2"/>
        <v>0</v>
      </c>
      <c r="L34" s="1645">
        <f t="shared" si="3"/>
        <v>0</v>
      </c>
      <c r="M34" s="1646">
        <f t="shared" si="4"/>
        <v>0</v>
      </c>
      <c r="N34" s="1644">
        <v>0.65</v>
      </c>
      <c r="O34" s="1645">
        <f t="shared" si="5"/>
        <v>0</v>
      </c>
      <c r="P34" s="1645" t="s">
        <v>601</v>
      </c>
      <c r="Q34" s="1606"/>
      <c r="R34" s="1606"/>
      <c r="S34" s="1640"/>
      <c r="T34" s="1597"/>
    </row>
    <row r="35" spans="1:20" ht="13.5">
      <c r="A35" s="1632" t="s">
        <v>768</v>
      </c>
      <c r="B35" s="1632"/>
      <c r="C35" s="1654"/>
      <c r="D35" s="1654"/>
      <c r="E35" s="1675">
        <f t="shared" si="0"/>
        <v>0</v>
      </c>
      <c r="F35" s="1641">
        <v>1</v>
      </c>
      <c r="G35" s="1642">
        <f t="shared" si="1"/>
        <v>0</v>
      </c>
      <c r="H35" s="1633">
        <v>3</v>
      </c>
      <c r="I35" s="1643">
        <v>0.8</v>
      </c>
      <c r="J35" s="1644">
        <v>0</v>
      </c>
      <c r="K35" s="1641">
        <f t="shared" si="2"/>
        <v>0</v>
      </c>
      <c r="L35" s="1641">
        <f t="shared" si="3"/>
        <v>0</v>
      </c>
      <c r="M35" s="1646">
        <f t="shared" si="4"/>
        <v>0</v>
      </c>
      <c r="N35" s="1644">
        <v>1.25</v>
      </c>
      <c r="O35" s="1645">
        <f t="shared" si="5"/>
        <v>0</v>
      </c>
      <c r="P35" s="1645">
        <v>35</v>
      </c>
      <c r="Q35" s="1606"/>
      <c r="R35" s="1606"/>
      <c r="S35" s="1640"/>
      <c r="T35" s="1597"/>
    </row>
    <row r="36" spans="1:20" ht="13.5">
      <c r="A36" s="1632" t="s">
        <v>769</v>
      </c>
      <c r="B36" s="1632" t="s">
        <v>597</v>
      </c>
      <c r="C36" s="1654">
        <v>1</v>
      </c>
      <c r="D36" s="1654"/>
      <c r="E36" s="1675">
        <f t="shared" si="0"/>
        <v>453.592</v>
      </c>
      <c r="F36" s="1641">
        <v>1.1</v>
      </c>
      <c r="G36" s="1642">
        <f>IF(F36=0,0,E36/F36)</f>
        <v>412.3563636363636</v>
      </c>
      <c r="H36" s="1633">
        <v>2.2</v>
      </c>
      <c r="I36" s="1633">
        <v>1.1</v>
      </c>
      <c r="J36" s="1644">
        <v>0.15</v>
      </c>
      <c r="K36" s="1641">
        <f>0.01*E36*F36*I36</f>
        <v>5.488463200000001</v>
      </c>
      <c r="L36" s="1641">
        <f>0.01*E36*F36*H36</f>
        <v>10.976926400000002</v>
      </c>
      <c r="M36" s="1646">
        <f t="shared" si="4"/>
        <v>61.85345454545454</v>
      </c>
      <c r="N36" s="1644">
        <v>1.25</v>
      </c>
      <c r="O36" s="1645">
        <f t="shared" si="5"/>
        <v>515.4454545454545</v>
      </c>
      <c r="P36" s="1645" t="s">
        <v>602</v>
      </c>
      <c r="Q36" s="1606"/>
      <c r="R36" s="1606"/>
      <c r="S36" s="1640"/>
      <c r="T36" s="1597"/>
    </row>
    <row r="37" spans="1:20" ht="13.5">
      <c r="A37" s="1632"/>
      <c r="B37" s="1632" t="s">
        <v>598</v>
      </c>
      <c r="C37" s="1654">
        <v>1</v>
      </c>
      <c r="D37" s="1654"/>
      <c r="E37" s="1675">
        <f t="shared" si="0"/>
        <v>453.592</v>
      </c>
      <c r="F37" s="1641">
        <v>1.1</v>
      </c>
      <c r="G37" s="1642">
        <f>IF(F37=0,0,E37/F37)</f>
        <v>412.3563636363636</v>
      </c>
      <c r="H37" s="1647">
        <v>2.3</v>
      </c>
      <c r="I37" s="1633">
        <v>1.2</v>
      </c>
      <c r="J37" s="1644">
        <v>0.3</v>
      </c>
      <c r="K37" s="1641">
        <f>0.01*E37*F37*I37</f>
        <v>5.9874144000000005</v>
      </c>
      <c r="L37" s="1641">
        <f>0.01*E37*F37*H37</f>
        <v>11.4758776</v>
      </c>
      <c r="M37" s="1646">
        <f t="shared" si="4"/>
        <v>123.70690909090908</v>
      </c>
      <c r="N37" s="1644">
        <v>1.5</v>
      </c>
      <c r="O37" s="1645">
        <f t="shared" si="5"/>
        <v>618.5345454545454</v>
      </c>
      <c r="P37" s="1645" t="s">
        <v>602</v>
      </c>
      <c r="Q37" s="1606"/>
      <c r="R37" s="1606"/>
      <c r="S37" s="1640"/>
      <c r="T37" s="1597"/>
    </row>
    <row r="38" spans="1:20" ht="13.5">
      <c r="A38" s="1632" t="s">
        <v>771</v>
      </c>
      <c r="B38" s="1632"/>
      <c r="C38" s="1654"/>
      <c r="D38" s="1654"/>
      <c r="E38" s="1675">
        <f t="shared" si="0"/>
        <v>0</v>
      </c>
      <c r="F38" s="1641">
        <v>1</v>
      </c>
      <c r="G38" s="1642">
        <f t="shared" si="1"/>
        <v>0</v>
      </c>
      <c r="H38" s="1633">
        <v>1.05</v>
      </c>
      <c r="I38" s="1643">
        <v>0.8</v>
      </c>
      <c r="J38" s="1644">
        <v>0</v>
      </c>
      <c r="K38" s="1641">
        <f t="shared" si="2"/>
        <v>0</v>
      </c>
      <c r="L38" s="1641">
        <f t="shared" si="3"/>
        <v>0</v>
      </c>
      <c r="M38" s="1646">
        <f t="shared" si="4"/>
        <v>0</v>
      </c>
      <c r="N38" s="1644">
        <v>1</v>
      </c>
      <c r="O38" s="1645">
        <f t="shared" si="5"/>
        <v>0</v>
      </c>
      <c r="P38" s="1645">
        <v>25</v>
      </c>
      <c r="Q38" s="1606"/>
      <c r="R38" s="1606"/>
      <c r="S38" s="1640"/>
      <c r="T38" s="1597"/>
    </row>
    <row r="39" spans="1:20" ht="13.5">
      <c r="A39" s="1648" t="s">
        <v>773</v>
      </c>
      <c r="B39" s="1632"/>
      <c r="C39" s="1654"/>
      <c r="D39" s="1654"/>
      <c r="E39" s="1675">
        <f t="shared" si="0"/>
        <v>0</v>
      </c>
      <c r="F39" s="1641">
        <v>1</v>
      </c>
      <c r="G39" s="1642">
        <f t="shared" si="1"/>
        <v>0</v>
      </c>
      <c r="H39" s="1633">
        <v>0.4</v>
      </c>
      <c r="I39" s="1643">
        <v>0.8</v>
      </c>
      <c r="J39" s="1644">
        <v>0</v>
      </c>
      <c r="K39" s="1641">
        <f t="shared" si="2"/>
        <v>0</v>
      </c>
      <c r="L39" s="1641">
        <f t="shared" si="3"/>
        <v>0</v>
      </c>
      <c r="M39" s="1646">
        <f t="shared" si="4"/>
        <v>0</v>
      </c>
      <c r="N39" s="1644">
        <v>1</v>
      </c>
      <c r="O39" s="1645">
        <f t="shared" si="5"/>
        <v>0</v>
      </c>
      <c r="P39" s="1645">
        <v>45</v>
      </c>
      <c r="Q39" s="1606"/>
      <c r="R39" s="1606"/>
      <c r="S39" s="1640"/>
      <c r="T39" s="1597"/>
    </row>
    <row r="40" spans="1:20" ht="13.5">
      <c r="A40" s="1632" t="s">
        <v>774</v>
      </c>
      <c r="B40" s="1632" t="s">
        <v>597</v>
      </c>
      <c r="C40" s="1654"/>
      <c r="D40" s="1654"/>
      <c r="E40" s="1675">
        <f t="shared" si="0"/>
        <v>0</v>
      </c>
      <c r="F40" s="1641">
        <v>1</v>
      </c>
      <c r="G40" s="1642">
        <f t="shared" si="1"/>
        <v>0</v>
      </c>
      <c r="H40" s="1633">
        <v>1.7</v>
      </c>
      <c r="I40" s="1633">
        <v>0.85</v>
      </c>
      <c r="J40" s="1644">
        <v>0.15</v>
      </c>
      <c r="K40" s="1641">
        <f>0.01*E41*F41*I41</f>
        <v>0</v>
      </c>
      <c r="L40" s="1641">
        <f>0.01*E41*F41*H41</f>
        <v>0</v>
      </c>
      <c r="M40" s="1646">
        <f t="shared" si="4"/>
        <v>0</v>
      </c>
      <c r="N40" s="1644">
        <v>1.1</v>
      </c>
      <c r="O40" s="1645">
        <f t="shared" si="5"/>
        <v>0</v>
      </c>
      <c r="P40" s="1645" t="s">
        <v>602</v>
      </c>
      <c r="Q40" s="1606"/>
      <c r="R40" s="1606"/>
      <c r="S40" s="1640"/>
      <c r="T40" s="1597"/>
    </row>
    <row r="41" spans="1:20" ht="13.5">
      <c r="A41" s="1632"/>
      <c r="B41" s="1632" t="s">
        <v>598</v>
      </c>
      <c r="C41" s="1654"/>
      <c r="D41" s="1654"/>
      <c r="E41" s="1675">
        <f t="shared" si="0"/>
        <v>0</v>
      </c>
      <c r="F41" s="1641">
        <v>1</v>
      </c>
      <c r="G41" s="1642">
        <f t="shared" si="1"/>
        <v>0</v>
      </c>
      <c r="H41" s="1633">
        <v>1.8</v>
      </c>
      <c r="I41" s="1633">
        <v>0.9</v>
      </c>
      <c r="J41" s="1644">
        <v>0.5</v>
      </c>
      <c r="K41" s="1641">
        <f>0.01*E42*F42*I42</f>
        <v>0</v>
      </c>
      <c r="L41" s="1641">
        <f>0.01*E42*F42*H42</f>
        <v>0</v>
      </c>
      <c r="M41" s="1646">
        <f t="shared" si="4"/>
        <v>0</v>
      </c>
      <c r="N41" s="1644">
        <v>1.1</v>
      </c>
      <c r="O41" s="1645">
        <f t="shared" si="5"/>
        <v>0</v>
      </c>
      <c r="P41" s="1645" t="s">
        <v>602</v>
      </c>
      <c r="Q41" s="1606"/>
      <c r="R41" s="1606"/>
      <c r="S41" s="1640"/>
      <c r="T41" s="1597"/>
    </row>
    <row r="42" spans="1:20" ht="13.5">
      <c r="A42" s="1632" t="s">
        <v>775</v>
      </c>
      <c r="B42" s="1633" t="s">
        <v>780</v>
      </c>
      <c r="C42" s="1654"/>
      <c r="D42" s="1654"/>
      <c r="E42" s="1675">
        <f t="shared" si="0"/>
        <v>0</v>
      </c>
      <c r="F42" s="1641">
        <v>1</v>
      </c>
      <c r="G42" s="1642">
        <f t="shared" si="1"/>
        <v>0</v>
      </c>
      <c r="H42" s="1633">
        <v>0.85</v>
      </c>
      <c r="I42" s="1633">
        <v>0.25</v>
      </c>
      <c r="J42" s="1644">
        <v>0</v>
      </c>
      <c r="K42" s="1641">
        <f aca="true" t="shared" si="6" ref="K42:K71">0.01*E42*F42*I42</f>
        <v>0</v>
      </c>
      <c r="L42" s="1641">
        <f aca="true" t="shared" si="7" ref="L42:L71">0.01*E42*F42*H42</f>
        <v>0</v>
      </c>
      <c r="M42" s="1646">
        <f t="shared" si="4"/>
        <v>0</v>
      </c>
      <c r="N42" s="1644">
        <v>1</v>
      </c>
      <c r="O42" s="1645">
        <f t="shared" si="5"/>
        <v>0</v>
      </c>
      <c r="P42" s="1645" t="s">
        <v>1637</v>
      </c>
      <c r="Q42" s="1606"/>
      <c r="R42" s="1606"/>
      <c r="S42" s="1640"/>
      <c r="T42" s="1597"/>
    </row>
    <row r="43" spans="1:20" ht="13.5">
      <c r="A43" s="1632"/>
      <c r="B43" s="1633" t="s">
        <v>767</v>
      </c>
      <c r="C43" s="1654"/>
      <c r="D43" s="1654"/>
      <c r="E43" s="1675">
        <f t="shared" si="0"/>
        <v>0</v>
      </c>
      <c r="F43" s="1641">
        <v>1</v>
      </c>
      <c r="G43" s="1642">
        <f t="shared" si="1"/>
        <v>0</v>
      </c>
      <c r="H43" s="1633">
        <v>0.85</v>
      </c>
      <c r="I43" s="1633">
        <v>0.25</v>
      </c>
      <c r="J43" s="1644">
        <v>0</v>
      </c>
      <c r="K43" s="1641">
        <f t="shared" si="6"/>
        <v>0</v>
      </c>
      <c r="L43" s="1641">
        <f t="shared" si="7"/>
        <v>0</v>
      </c>
      <c r="M43" s="1646">
        <f t="shared" si="4"/>
        <v>0</v>
      </c>
      <c r="N43" s="1644">
        <v>0.75</v>
      </c>
      <c r="O43" s="1645">
        <f t="shared" si="5"/>
        <v>0</v>
      </c>
      <c r="P43" s="1645" t="s">
        <v>1637</v>
      </c>
      <c r="Q43" s="1606"/>
      <c r="R43" s="1606"/>
      <c r="S43" s="1640"/>
      <c r="T43" s="1597"/>
    </row>
    <row r="44" spans="1:20" ht="13.5">
      <c r="A44" s="1632" t="s">
        <v>783</v>
      </c>
      <c r="B44" s="1632"/>
      <c r="C44" s="1654"/>
      <c r="D44" s="1654"/>
      <c r="E44" s="1675">
        <f t="shared" si="0"/>
        <v>0</v>
      </c>
      <c r="F44" s="1641">
        <v>1.5</v>
      </c>
      <c r="G44" s="1642">
        <f t="shared" si="1"/>
        <v>0</v>
      </c>
      <c r="H44" s="1633">
        <v>2</v>
      </c>
      <c r="I44" s="1633">
        <v>1.45</v>
      </c>
      <c r="J44" s="1644">
        <v>0.15</v>
      </c>
      <c r="K44" s="1641">
        <f t="shared" si="6"/>
        <v>0</v>
      </c>
      <c r="L44" s="1641">
        <f t="shared" si="7"/>
        <v>0</v>
      </c>
      <c r="M44" s="1646">
        <f t="shared" si="4"/>
        <v>0</v>
      </c>
      <c r="N44" s="1644">
        <v>1.25</v>
      </c>
      <c r="O44" s="1645">
        <f t="shared" si="5"/>
        <v>0</v>
      </c>
      <c r="P44" s="1645"/>
      <c r="Q44" s="1606"/>
      <c r="R44" s="1606"/>
      <c r="S44" s="1640"/>
      <c r="T44" s="1597"/>
    </row>
    <row r="45" spans="1:20" ht="13.5">
      <c r="A45" s="1632" t="s">
        <v>784</v>
      </c>
      <c r="B45" s="1632" t="s">
        <v>597</v>
      </c>
      <c r="C45" s="1654"/>
      <c r="D45" s="1654"/>
      <c r="E45" s="1675">
        <f t="shared" si="0"/>
        <v>0</v>
      </c>
      <c r="F45" s="1641">
        <v>1.1</v>
      </c>
      <c r="G45" s="1642">
        <f t="shared" si="1"/>
        <v>0</v>
      </c>
      <c r="H45" s="1633">
        <v>1.2</v>
      </c>
      <c r="I45" s="1633">
        <v>0.9</v>
      </c>
      <c r="J45" s="1644">
        <v>0</v>
      </c>
      <c r="K45" s="1641">
        <f t="shared" si="6"/>
        <v>0</v>
      </c>
      <c r="L45" s="1641">
        <f t="shared" si="7"/>
        <v>0</v>
      </c>
      <c r="M45" s="1646">
        <f t="shared" si="4"/>
        <v>0</v>
      </c>
      <c r="N45" s="1644">
        <v>1</v>
      </c>
      <c r="O45" s="1645">
        <f t="shared" si="5"/>
        <v>0</v>
      </c>
      <c r="P45" s="1645" t="s">
        <v>602</v>
      </c>
      <c r="Q45" s="1606"/>
      <c r="R45" s="1606"/>
      <c r="S45" s="1640"/>
      <c r="T45" s="1597"/>
    </row>
    <row r="46" spans="1:20" ht="13.5">
      <c r="A46" s="1632"/>
      <c r="B46" s="1632" t="s">
        <v>598</v>
      </c>
      <c r="C46" s="1654"/>
      <c r="D46" s="1654"/>
      <c r="E46" s="1675">
        <f t="shared" si="0"/>
        <v>0</v>
      </c>
      <c r="F46" s="1641">
        <v>1.1</v>
      </c>
      <c r="G46" s="1642">
        <f t="shared" si="1"/>
        <v>0</v>
      </c>
      <c r="H46" s="1633">
        <v>1.3</v>
      </c>
      <c r="I46" s="1633">
        <v>0.95</v>
      </c>
      <c r="J46" s="1644">
        <v>0.1</v>
      </c>
      <c r="K46" s="1641">
        <f t="shared" si="6"/>
        <v>0</v>
      </c>
      <c r="L46" s="1641">
        <f t="shared" si="7"/>
        <v>0</v>
      </c>
      <c r="M46" s="1646">
        <f t="shared" si="4"/>
        <v>0</v>
      </c>
      <c r="N46" s="1644">
        <v>1</v>
      </c>
      <c r="O46" s="1645">
        <f t="shared" si="5"/>
        <v>0</v>
      </c>
      <c r="P46" s="1645" t="s">
        <v>602</v>
      </c>
      <c r="Q46" s="1606"/>
      <c r="R46" s="1606"/>
      <c r="S46" s="1640"/>
      <c r="T46" s="1597"/>
    </row>
    <row r="47" spans="1:20" ht="13.5">
      <c r="A47" s="1632" t="s">
        <v>785</v>
      </c>
      <c r="B47" s="1632"/>
      <c r="C47" s="1654"/>
      <c r="D47" s="1654"/>
      <c r="E47" s="1675">
        <f t="shared" si="0"/>
        <v>0</v>
      </c>
      <c r="F47" s="1641">
        <v>1.2</v>
      </c>
      <c r="G47" s="1642">
        <f t="shared" si="1"/>
        <v>0</v>
      </c>
      <c r="H47" s="1633">
        <v>0.4</v>
      </c>
      <c r="I47" s="1633">
        <v>1.1</v>
      </c>
      <c r="J47" s="1644">
        <v>0</v>
      </c>
      <c r="K47" s="1641">
        <f t="shared" si="6"/>
        <v>0</v>
      </c>
      <c r="L47" s="1641">
        <f t="shared" si="7"/>
        <v>0</v>
      </c>
      <c r="M47" s="1646">
        <f t="shared" si="4"/>
        <v>0</v>
      </c>
      <c r="N47" s="1644">
        <v>1</v>
      </c>
      <c r="O47" s="1645">
        <f t="shared" si="5"/>
        <v>0</v>
      </c>
      <c r="P47" s="1645" t="s">
        <v>602</v>
      </c>
      <c r="Q47" s="1606"/>
      <c r="R47" s="1606"/>
      <c r="S47" s="1640"/>
      <c r="T47" s="1597"/>
    </row>
    <row r="48" spans="1:20" ht="13.5">
      <c r="A48" s="1632" t="s">
        <v>786</v>
      </c>
      <c r="B48" s="1632"/>
      <c r="C48" s="1654"/>
      <c r="D48" s="1654"/>
      <c r="E48" s="1675">
        <f t="shared" si="0"/>
        <v>0</v>
      </c>
      <c r="F48" s="1641">
        <v>1.15</v>
      </c>
      <c r="G48" s="1642">
        <f t="shared" si="1"/>
        <v>0</v>
      </c>
      <c r="H48" s="1649">
        <v>3</v>
      </c>
      <c r="I48" s="1633"/>
      <c r="J48" s="1644">
        <v>0</v>
      </c>
      <c r="K48" s="1641">
        <f t="shared" si="6"/>
        <v>0</v>
      </c>
      <c r="L48" s="1641">
        <f t="shared" si="7"/>
        <v>0</v>
      </c>
      <c r="M48" s="1646">
        <f t="shared" si="4"/>
        <v>0</v>
      </c>
      <c r="N48" s="1644">
        <v>1</v>
      </c>
      <c r="O48" s="1645">
        <f t="shared" si="5"/>
        <v>0</v>
      </c>
      <c r="P48" s="1645"/>
      <c r="Q48" s="1606"/>
      <c r="R48" s="1606"/>
      <c r="S48" s="1640"/>
      <c r="T48" s="1597"/>
    </row>
    <row r="49" spans="1:20" ht="13.5">
      <c r="A49" s="1632" t="s">
        <v>787</v>
      </c>
      <c r="B49" s="1632"/>
      <c r="C49" s="1654"/>
      <c r="D49" s="1654"/>
      <c r="E49" s="1675">
        <f t="shared" si="0"/>
        <v>0</v>
      </c>
      <c r="F49" s="1641">
        <v>1</v>
      </c>
      <c r="G49" s="1642">
        <f t="shared" si="1"/>
        <v>0</v>
      </c>
      <c r="H49" s="1633">
        <v>4.3</v>
      </c>
      <c r="I49" s="1643">
        <v>0.8</v>
      </c>
      <c r="J49" s="1644">
        <v>0.15</v>
      </c>
      <c r="K49" s="1641">
        <f t="shared" si="6"/>
        <v>0</v>
      </c>
      <c r="L49" s="1641">
        <f t="shared" si="7"/>
        <v>0</v>
      </c>
      <c r="M49" s="1646">
        <f t="shared" si="4"/>
        <v>0</v>
      </c>
      <c r="N49" s="1644">
        <v>1</v>
      </c>
      <c r="O49" s="1645">
        <f t="shared" si="5"/>
        <v>0</v>
      </c>
      <c r="P49" s="1645"/>
      <c r="Q49" s="1606"/>
      <c r="R49" s="1606"/>
      <c r="S49" s="1640"/>
      <c r="T49" s="1597"/>
    </row>
    <row r="50" spans="1:20" ht="13.5">
      <c r="A50" s="1632" t="s">
        <v>603</v>
      </c>
      <c r="B50" s="1632"/>
      <c r="C50" s="1654"/>
      <c r="D50" s="1654"/>
      <c r="E50" s="1675">
        <f t="shared" si="0"/>
        <v>0</v>
      </c>
      <c r="F50" s="1641">
        <v>1.3</v>
      </c>
      <c r="G50" s="1642">
        <f t="shared" si="1"/>
        <v>0</v>
      </c>
      <c r="H50" s="1633">
        <v>0.3</v>
      </c>
      <c r="I50" s="1643">
        <v>0.6</v>
      </c>
      <c r="J50" s="1644">
        <v>0</v>
      </c>
      <c r="K50" s="1641">
        <f t="shared" si="6"/>
        <v>0</v>
      </c>
      <c r="L50" s="1641">
        <f t="shared" si="7"/>
        <v>0</v>
      </c>
      <c r="M50" s="1646">
        <f t="shared" si="4"/>
        <v>0</v>
      </c>
      <c r="N50" s="1644">
        <v>1</v>
      </c>
      <c r="O50" s="1645">
        <f t="shared" si="5"/>
        <v>0</v>
      </c>
      <c r="P50" s="1645">
        <v>15</v>
      </c>
      <c r="Q50" s="1606"/>
      <c r="R50" s="1606"/>
      <c r="S50" s="1640"/>
      <c r="T50" s="1597"/>
    </row>
    <row r="51" spans="1:20" ht="13.5">
      <c r="A51" s="1632" t="s">
        <v>789</v>
      </c>
      <c r="B51" s="1632"/>
      <c r="C51" s="1654"/>
      <c r="D51" s="1654"/>
      <c r="E51" s="1675">
        <f t="shared" si="0"/>
        <v>0</v>
      </c>
      <c r="F51" s="1641">
        <v>1</v>
      </c>
      <c r="G51" s="1642">
        <f t="shared" si="1"/>
        <v>0</v>
      </c>
      <c r="H51" s="1633">
        <v>2</v>
      </c>
      <c r="I51" s="1633">
        <v>0.6</v>
      </c>
      <c r="J51" s="1644">
        <v>0</v>
      </c>
      <c r="K51" s="1650">
        <f t="shared" si="6"/>
        <v>0</v>
      </c>
      <c r="L51" s="1650">
        <f t="shared" si="7"/>
        <v>0</v>
      </c>
      <c r="M51" s="1646">
        <f t="shared" si="4"/>
        <v>0</v>
      </c>
      <c r="N51" s="1644">
        <v>1</v>
      </c>
      <c r="O51" s="1645">
        <f t="shared" si="5"/>
        <v>0</v>
      </c>
      <c r="P51" s="1645">
        <v>20</v>
      </c>
      <c r="Q51" s="1606"/>
      <c r="R51" s="1606"/>
      <c r="S51" s="1640"/>
      <c r="T51" s="1597"/>
    </row>
    <row r="52" spans="1:20" ht="13.5">
      <c r="A52" s="1632" t="s">
        <v>790</v>
      </c>
      <c r="B52" s="1632"/>
      <c r="C52" s="1654"/>
      <c r="D52" s="1654"/>
      <c r="E52" s="1675">
        <f t="shared" si="0"/>
        <v>0</v>
      </c>
      <c r="F52" s="1641">
        <v>1.3</v>
      </c>
      <c r="G52" s="1642">
        <f t="shared" si="1"/>
        <v>0</v>
      </c>
      <c r="H52" s="1633">
        <v>0.5</v>
      </c>
      <c r="I52" s="1633"/>
      <c r="J52" s="1644">
        <v>0</v>
      </c>
      <c r="K52" s="1641">
        <f t="shared" si="6"/>
        <v>0</v>
      </c>
      <c r="L52" s="1641">
        <f t="shared" si="7"/>
        <v>0</v>
      </c>
      <c r="M52" s="1646">
        <f t="shared" si="4"/>
        <v>0</v>
      </c>
      <c r="N52" s="1644">
        <v>1</v>
      </c>
      <c r="O52" s="1645">
        <f t="shared" si="5"/>
        <v>0</v>
      </c>
      <c r="P52" s="1645"/>
      <c r="Q52" s="1606"/>
      <c r="R52" s="1606"/>
      <c r="S52" s="1640"/>
      <c r="T52" s="1597"/>
    </row>
    <row r="53" spans="1:20" ht="13.5">
      <c r="A53" s="1632" t="s">
        <v>791</v>
      </c>
      <c r="B53" s="1632"/>
      <c r="C53" s="1654"/>
      <c r="D53" s="1654"/>
      <c r="E53" s="1675">
        <f t="shared" si="0"/>
        <v>0</v>
      </c>
      <c r="F53" s="1641">
        <v>1</v>
      </c>
      <c r="G53" s="1642">
        <f t="shared" si="1"/>
        <v>0</v>
      </c>
      <c r="H53" s="1643">
        <v>1</v>
      </c>
      <c r="I53" s="1633"/>
      <c r="J53" s="1644">
        <v>0</v>
      </c>
      <c r="K53" s="1641">
        <f t="shared" si="6"/>
        <v>0</v>
      </c>
      <c r="L53" s="1641">
        <f t="shared" si="7"/>
        <v>0</v>
      </c>
      <c r="M53" s="1646">
        <f t="shared" si="4"/>
        <v>0</v>
      </c>
      <c r="N53" s="1644">
        <v>1</v>
      </c>
      <c r="O53" s="1645">
        <f t="shared" si="5"/>
        <v>0</v>
      </c>
      <c r="P53" s="1645" t="s">
        <v>602</v>
      </c>
      <c r="Q53" s="1606"/>
      <c r="R53" s="1606"/>
      <c r="S53" s="1640"/>
      <c r="T53" s="1597"/>
    </row>
    <row r="54" spans="1:20" ht="13.5">
      <c r="A54" s="1632" t="s">
        <v>792</v>
      </c>
      <c r="B54" s="1632" t="s">
        <v>604</v>
      </c>
      <c r="C54" s="1654"/>
      <c r="D54" s="1654"/>
      <c r="E54" s="1675">
        <f t="shared" si="0"/>
        <v>0</v>
      </c>
      <c r="F54" s="1641">
        <v>1.4</v>
      </c>
      <c r="G54" s="1642">
        <f t="shared" si="1"/>
        <v>0</v>
      </c>
      <c r="H54" s="1633">
        <v>0.2</v>
      </c>
      <c r="I54" s="1643">
        <v>0.5</v>
      </c>
      <c r="J54" s="1644">
        <v>0</v>
      </c>
      <c r="K54" s="1641">
        <f t="shared" si="6"/>
        <v>0</v>
      </c>
      <c r="L54" s="1641">
        <f t="shared" si="7"/>
        <v>0</v>
      </c>
      <c r="M54" s="1646">
        <f t="shared" si="4"/>
        <v>0</v>
      </c>
      <c r="N54" s="1644">
        <v>1</v>
      </c>
      <c r="O54" s="1645">
        <f t="shared" si="5"/>
        <v>0</v>
      </c>
      <c r="P54" s="1645">
        <v>30</v>
      </c>
      <c r="Q54" s="1606"/>
      <c r="R54" s="1606"/>
      <c r="S54" s="1640"/>
      <c r="T54" s="1597"/>
    </row>
    <row r="55" spans="1:20" ht="13.5">
      <c r="A55" s="1632" t="s">
        <v>793</v>
      </c>
      <c r="B55" s="1632"/>
      <c r="C55" s="1654"/>
      <c r="D55" s="1654"/>
      <c r="E55" s="1675">
        <f t="shared" si="0"/>
        <v>0</v>
      </c>
      <c r="F55" s="1641">
        <v>1.5</v>
      </c>
      <c r="G55" s="1642">
        <f aca="true" t="shared" si="8" ref="G55:G71">IF(F55=0,0,E55/F55)</f>
        <v>0</v>
      </c>
      <c r="H55" s="1633">
        <v>0.45</v>
      </c>
      <c r="I55" s="1633">
        <v>0.6</v>
      </c>
      <c r="J55" s="1644">
        <v>0.15</v>
      </c>
      <c r="K55" s="1641">
        <f t="shared" si="6"/>
        <v>0</v>
      </c>
      <c r="L55" s="1641">
        <f t="shared" si="7"/>
        <v>0</v>
      </c>
      <c r="M55" s="1646">
        <f aca="true" t="shared" si="9" ref="M55:M71">J55*G55</f>
        <v>0</v>
      </c>
      <c r="N55" s="1644">
        <v>1</v>
      </c>
      <c r="O55" s="1645">
        <f aca="true" t="shared" si="10" ref="O55:O84">G55*N55</f>
        <v>0</v>
      </c>
      <c r="P55" s="1645">
        <v>30</v>
      </c>
      <c r="Q55" s="1606"/>
      <c r="R55" s="1606"/>
      <c r="S55" s="1640"/>
      <c r="T55" s="1597"/>
    </row>
    <row r="56" spans="1:20" ht="13.5">
      <c r="A56" s="1632" t="s">
        <v>794</v>
      </c>
      <c r="B56" s="1632" t="s">
        <v>597</v>
      </c>
      <c r="C56" s="1654"/>
      <c r="D56" s="1654"/>
      <c r="E56" s="1675">
        <f t="shared" si="0"/>
        <v>0</v>
      </c>
      <c r="F56" s="1641">
        <v>1.1</v>
      </c>
      <c r="G56" s="1642">
        <f t="shared" si="8"/>
        <v>0</v>
      </c>
      <c r="H56" s="1633">
        <v>0.7</v>
      </c>
      <c r="I56" s="1633">
        <v>0.35</v>
      </c>
      <c r="J56" s="1644">
        <v>0.09</v>
      </c>
      <c r="K56" s="1641">
        <f t="shared" si="6"/>
        <v>0</v>
      </c>
      <c r="L56" s="1641">
        <f t="shared" si="7"/>
        <v>0</v>
      </c>
      <c r="M56" s="1646">
        <f t="shared" si="9"/>
        <v>0</v>
      </c>
      <c r="N56" s="1644">
        <v>1</v>
      </c>
      <c r="O56" s="1645">
        <f t="shared" si="10"/>
        <v>0</v>
      </c>
      <c r="P56" s="1645" t="s">
        <v>605</v>
      </c>
      <c r="Q56" s="1606"/>
      <c r="R56" s="1606"/>
      <c r="S56" s="1640"/>
      <c r="T56" s="1597"/>
    </row>
    <row r="57" spans="1:20" ht="13.5">
      <c r="A57" s="1651"/>
      <c r="B57" s="1632" t="s">
        <v>598</v>
      </c>
      <c r="C57" s="1654"/>
      <c r="D57" s="1654"/>
      <c r="E57" s="1675">
        <f t="shared" si="0"/>
        <v>0</v>
      </c>
      <c r="F57" s="1641">
        <v>1.1</v>
      </c>
      <c r="G57" s="1642">
        <f t="shared" si="8"/>
        <v>0</v>
      </c>
      <c r="H57" s="1633">
        <v>0.7</v>
      </c>
      <c r="I57" s="1633">
        <v>0.35</v>
      </c>
      <c r="J57" s="1644">
        <v>0.15</v>
      </c>
      <c r="K57" s="1641">
        <f t="shared" si="6"/>
        <v>0</v>
      </c>
      <c r="L57" s="1641">
        <f t="shared" si="7"/>
        <v>0</v>
      </c>
      <c r="M57" s="1646">
        <f t="shared" si="9"/>
        <v>0</v>
      </c>
      <c r="N57" s="1644">
        <v>1</v>
      </c>
      <c r="O57" s="1645">
        <f t="shared" si="10"/>
        <v>0</v>
      </c>
      <c r="P57" s="1645" t="s">
        <v>605</v>
      </c>
      <c r="Q57" s="1606"/>
      <c r="R57" s="1606"/>
      <c r="S57" s="1640"/>
      <c r="T57" s="1597"/>
    </row>
    <row r="58" spans="1:20" ht="13.5">
      <c r="A58" s="1632" t="s">
        <v>795</v>
      </c>
      <c r="B58" s="1632"/>
      <c r="C58" s="1654"/>
      <c r="D58" s="1654"/>
      <c r="E58" s="1675">
        <f t="shared" si="0"/>
        <v>0</v>
      </c>
      <c r="F58" s="1641">
        <v>1</v>
      </c>
      <c r="G58" s="1642">
        <f t="shared" si="8"/>
        <v>0</v>
      </c>
      <c r="H58" s="1633">
        <v>0.95</v>
      </c>
      <c r="I58" s="1633">
        <v>0.75</v>
      </c>
      <c r="J58" s="1644">
        <v>0.15</v>
      </c>
      <c r="K58" s="1641">
        <f t="shared" si="6"/>
        <v>0</v>
      </c>
      <c r="L58" s="1641">
        <f t="shared" si="7"/>
        <v>0</v>
      </c>
      <c r="M58" s="1646">
        <f t="shared" si="9"/>
        <v>0</v>
      </c>
      <c r="N58" s="1644">
        <v>1</v>
      </c>
      <c r="O58" s="1645">
        <f t="shared" si="10"/>
        <v>0</v>
      </c>
      <c r="P58" s="1645"/>
      <c r="Q58" s="1606"/>
      <c r="R58" s="1606"/>
      <c r="S58" s="1640"/>
      <c r="T58" s="1597"/>
    </row>
    <row r="59" spans="1:20" ht="13.5">
      <c r="A59" s="1632" t="s">
        <v>606</v>
      </c>
      <c r="B59" s="1632"/>
      <c r="C59" s="1654"/>
      <c r="D59" s="1654"/>
      <c r="E59" s="1675">
        <f t="shared" si="0"/>
        <v>0</v>
      </c>
      <c r="F59" s="1641">
        <v>1.4</v>
      </c>
      <c r="G59" s="1642">
        <f t="shared" si="8"/>
        <v>0</v>
      </c>
      <c r="H59" s="1633">
        <v>0.1</v>
      </c>
      <c r="I59" s="1633"/>
      <c r="J59" s="1644">
        <v>0</v>
      </c>
      <c r="K59" s="1641">
        <f t="shared" si="6"/>
        <v>0</v>
      </c>
      <c r="L59" s="1641">
        <f t="shared" si="7"/>
        <v>0</v>
      </c>
      <c r="M59" s="1646">
        <f t="shared" si="9"/>
        <v>0</v>
      </c>
      <c r="N59" s="1644">
        <v>1</v>
      </c>
      <c r="O59" s="1645">
        <f t="shared" si="10"/>
        <v>0</v>
      </c>
      <c r="P59" s="1645"/>
      <c r="Q59" s="1606"/>
      <c r="R59" s="1606"/>
      <c r="S59" s="1640"/>
      <c r="T59" s="1597"/>
    </row>
    <row r="60" spans="1:20" ht="13.5">
      <c r="A60" s="1632" t="s">
        <v>797</v>
      </c>
      <c r="B60" s="1632"/>
      <c r="C60" s="1654"/>
      <c r="D60" s="1654"/>
      <c r="E60" s="1675">
        <f t="shared" si="0"/>
        <v>0</v>
      </c>
      <c r="F60" s="1641">
        <v>1</v>
      </c>
      <c r="G60" s="1642">
        <f t="shared" si="8"/>
        <v>0</v>
      </c>
      <c r="H60" s="1633">
        <v>3</v>
      </c>
      <c r="I60" s="1643">
        <v>0.5</v>
      </c>
      <c r="J60" s="1644">
        <v>0</v>
      </c>
      <c r="K60" s="1641">
        <f t="shared" si="6"/>
        <v>0</v>
      </c>
      <c r="L60" s="1641">
        <f t="shared" si="7"/>
        <v>0</v>
      </c>
      <c r="M60" s="1646">
        <f t="shared" si="9"/>
        <v>0</v>
      </c>
      <c r="N60" s="1644">
        <v>1</v>
      </c>
      <c r="O60" s="1645">
        <f t="shared" si="10"/>
        <v>0</v>
      </c>
      <c r="P60" s="1645">
        <v>15</v>
      </c>
      <c r="Q60" s="1606"/>
      <c r="R60" s="1606"/>
      <c r="S60" s="1640"/>
      <c r="T60" s="1597"/>
    </row>
    <row r="61" spans="1:20" ht="13.5">
      <c r="A61" s="1632" t="s">
        <v>798</v>
      </c>
      <c r="B61" s="1632" t="s">
        <v>597</v>
      </c>
      <c r="C61" s="1654"/>
      <c r="D61" s="1654"/>
      <c r="E61" s="1675">
        <f t="shared" si="0"/>
        <v>0</v>
      </c>
      <c r="F61" s="1641">
        <v>1.2</v>
      </c>
      <c r="G61" s="1642">
        <f t="shared" si="8"/>
        <v>0</v>
      </c>
      <c r="H61" s="1633">
        <v>0.65</v>
      </c>
      <c r="I61" s="1633">
        <v>0.35</v>
      </c>
      <c r="J61" s="1644">
        <v>0.09</v>
      </c>
      <c r="K61" s="1641">
        <f t="shared" si="6"/>
        <v>0</v>
      </c>
      <c r="L61" s="1641">
        <f t="shared" si="7"/>
        <v>0</v>
      </c>
      <c r="M61" s="1646">
        <f t="shared" si="9"/>
        <v>0</v>
      </c>
      <c r="N61" s="1644">
        <v>1</v>
      </c>
      <c r="O61" s="1645">
        <f t="shared" si="10"/>
        <v>0</v>
      </c>
      <c r="P61" s="1645">
        <v>30</v>
      </c>
      <c r="Q61" s="1606"/>
      <c r="R61" s="1606"/>
      <c r="S61" s="1640"/>
      <c r="T61" s="1597"/>
    </row>
    <row r="62" spans="1:20" ht="13.5">
      <c r="A62" s="1632"/>
      <c r="B62" s="1632" t="s">
        <v>598</v>
      </c>
      <c r="C62" s="1654"/>
      <c r="D62" s="1654"/>
      <c r="E62" s="1675">
        <f t="shared" si="0"/>
        <v>0</v>
      </c>
      <c r="F62" s="1641">
        <v>1.2</v>
      </c>
      <c r="G62" s="1642">
        <f t="shared" si="8"/>
        <v>0</v>
      </c>
      <c r="H62" s="1633">
        <v>0.65</v>
      </c>
      <c r="I62" s="1633">
        <v>0.35</v>
      </c>
      <c r="J62" s="1644">
        <v>0.15</v>
      </c>
      <c r="K62" s="1641">
        <f t="shared" si="6"/>
        <v>0</v>
      </c>
      <c r="L62" s="1641">
        <f t="shared" si="7"/>
        <v>0</v>
      </c>
      <c r="M62" s="1646">
        <f t="shared" si="9"/>
        <v>0</v>
      </c>
      <c r="N62" s="1644">
        <v>1</v>
      </c>
      <c r="O62" s="1645">
        <f t="shared" si="10"/>
        <v>0</v>
      </c>
      <c r="P62" s="1645">
        <v>31</v>
      </c>
      <c r="Q62" s="1606"/>
      <c r="R62" s="1606"/>
      <c r="S62" s="1640"/>
      <c r="T62" s="1597"/>
    </row>
    <row r="63" spans="1:20" ht="13.5">
      <c r="A63" s="1652"/>
      <c r="B63" s="1633" t="s">
        <v>758</v>
      </c>
      <c r="C63" s="1654"/>
      <c r="D63" s="1654"/>
      <c r="E63" s="1675">
        <f t="shared" si="0"/>
        <v>0</v>
      </c>
      <c r="F63" s="1641">
        <v>1</v>
      </c>
      <c r="G63" s="1642">
        <f t="shared" si="8"/>
        <v>0</v>
      </c>
      <c r="H63" s="1633">
        <v>1</v>
      </c>
      <c r="I63" s="1643">
        <v>1.05</v>
      </c>
      <c r="J63" s="1644">
        <v>3</v>
      </c>
      <c r="K63" s="1641">
        <f t="shared" si="6"/>
        <v>0</v>
      </c>
      <c r="L63" s="1641">
        <f t="shared" si="7"/>
        <v>0</v>
      </c>
      <c r="M63" s="1646">
        <f t="shared" si="9"/>
        <v>0</v>
      </c>
      <c r="N63" s="1644">
        <v>2</v>
      </c>
      <c r="O63" s="1645">
        <f t="shared" si="10"/>
        <v>0</v>
      </c>
      <c r="P63" s="1645" t="s">
        <v>607</v>
      </c>
      <c r="Q63" s="1606"/>
      <c r="R63" s="1606"/>
      <c r="S63" s="1640"/>
      <c r="T63" s="1597"/>
    </row>
    <row r="64" spans="1:20" ht="13.5">
      <c r="A64" s="1632" t="s">
        <v>799</v>
      </c>
      <c r="B64" s="1632"/>
      <c r="C64" s="1654"/>
      <c r="D64" s="1654"/>
      <c r="E64" s="1675">
        <f t="shared" si="0"/>
        <v>0</v>
      </c>
      <c r="F64" s="1641">
        <v>1.2</v>
      </c>
      <c r="G64" s="1642">
        <f t="shared" si="8"/>
        <v>0</v>
      </c>
      <c r="H64" s="1633">
        <v>0.3</v>
      </c>
      <c r="I64" s="1633">
        <v>0.8</v>
      </c>
      <c r="J64" s="1644">
        <v>0</v>
      </c>
      <c r="K64" s="1641">
        <f t="shared" si="6"/>
        <v>0</v>
      </c>
      <c r="L64" s="1641">
        <f t="shared" si="7"/>
        <v>0</v>
      </c>
      <c r="M64" s="1646">
        <f t="shared" si="9"/>
        <v>0</v>
      </c>
      <c r="N64" s="1644">
        <v>1</v>
      </c>
      <c r="O64" s="1645">
        <f t="shared" si="10"/>
        <v>0</v>
      </c>
      <c r="P64" s="1645" t="s">
        <v>605</v>
      </c>
      <c r="Q64" s="1606"/>
      <c r="R64" s="1606"/>
      <c r="S64" s="1640"/>
      <c r="T64" s="1597"/>
    </row>
    <row r="65" spans="1:20" ht="13.5">
      <c r="A65" s="1632" t="s">
        <v>608</v>
      </c>
      <c r="B65" s="1632"/>
      <c r="C65" s="1654"/>
      <c r="D65" s="1654"/>
      <c r="E65" s="1675">
        <f t="shared" si="0"/>
        <v>0</v>
      </c>
      <c r="F65" s="1641">
        <v>1.15</v>
      </c>
      <c r="G65" s="1642">
        <f t="shared" si="8"/>
        <v>0</v>
      </c>
      <c r="H65" s="1633">
        <v>0.2</v>
      </c>
      <c r="I65" s="1643">
        <v>0.5</v>
      </c>
      <c r="J65" s="1644">
        <v>0</v>
      </c>
      <c r="K65" s="1641">
        <f t="shared" si="6"/>
        <v>0</v>
      </c>
      <c r="L65" s="1641">
        <f t="shared" si="7"/>
        <v>0</v>
      </c>
      <c r="M65" s="1646">
        <f t="shared" si="9"/>
        <v>0</v>
      </c>
      <c r="N65" s="1644">
        <v>0.6667</v>
      </c>
      <c r="O65" s="1645">
        <f t="shared" si="10"/>
        <v>0</v>
      </c>
      <c r="P65" s="1645"/>
      <c r="Q65" s="1606"/>
      <c r="R65" s="1606"/>
      <c r="S65" s="1640"/>
      <c r="T65" s="1597"/>
    </row>
    <row r="66" spans="1:20" ht="13.5">
      <c r="A66" s="1632" t="s">
        <v>801</v>
      </c>
      <c r="B66" s="1632"/>
      <c r="C66" s="1654"/>
      <c r="D66" s="1654"/>
      <c r="E66" s="1675">
        <f t="shared" si="0"/>
        <v>0</v>
      </c>
      <c r="F66" s="1641">
        <v>1.4</v>
      </c>
      <c r="G66" s="1642">
        <f t="shared" si="8"/>
        <v>0</v>
      </c>
      <c r="H66" s="1633">
        <v>1.1</v>
      </c>
      <c r="I66" s="1633">
        <v>0.1</v>
      </c>
      <c r="J66" s="1644">
        <v>0</v>
      </c>
      <c r="K66" s="1641">
        <f t="shared" si="6"/>
        <v>0</v>
      </c>
      <c r="L66" s="1641">
        <f t="shared" si="7"/>
        <v>0</v>
      </c>
      <c r="M66" s="1646">
        <f t="shared" si="9"/>
        <v>0</v>
      </c>
      <c r="N66" s="1644">
        <v>1</v>
      </c>
      <c r="O66" s="1645">
        <f t="shared" si="10"/>
        <v>0</v>
      </c>
      <c r="P66" s="1645">
        <v>35</v>
      </c>
      <c r="Q66" s="1606"/>
      <c r="R66" s="1606"/>
      <c r="S66" s="1640"/>
      <c r="T66" s="1597"/>
    </row>
    <row r="67" spans="1:20" ht="13.5">
      <c r="A67" s="1632" t="s">
        <v>802</v>
      </c>
      <c r="B67" s="1632" t="s">
        <v>597</v>
      </c>
      <c r="C67" s="1654"/>
      <c r="D67" s="1654"/>
      <c r="E67" s="1675">
        <f t="shared" si="0"/>
        <v>0</v>
      </c>
      <c r="F67" s="1641">
        <v>1.04</v>
      </c>
      <c r="G67" s="1642">
        <f t="shared" si="8"/>
        <v>0</v>
      </c>
      <c r="H67" s="1633">
        <v>1.6</v>
      </c>
      <c r="I67" s="1633">
        <v>0.8</v>
      </c>
      <c r="J67" s="1644">
        <v>0</v>
      </c>
      <c r="K67" s="1641">
        <f t="shared" si="6"/>
        <v>0</v>
      </c>
      <c r="L67" s="1641">
        <f t="shared" si="7"/>
        <v>0</v>
      </c>
      <c r="M67" s="1646">
        <f t="shared" si="9"/>
        <v>0</v>
      </c>
      <c r="N67" s="1644">
        <v>1</v>
      </c>
      <c r="O67" s="1645">
        <f t="shared" si="10"/>
        <v>0</v>
      </c>
      <c r="P67" s="1645" t="s">
        <v>601</v>
      </c>
      <c r="Q67" s="1606"/>
      <c r="R67" s="1606"/>
      <c r="S67" s="1640"/>
      <c r="T67" s="1597"/>
    </row>
    <row r="68" spans="1:20" ht="13.5">
      <c r="A68" s="1632"/>
      <c r="B68" s="1632" t="s">
        <v>598</v>
      </c>
      <c r="C68" s="1654"/>
      <c r="D68" s="1654"/>
      <c r="E68" s="1675">
        <f t="shared" si="0"/>
        <v>0</v>
      </c>
      <c r="F68" s="1641">
        <v>1.04</v>
      </c>
      <c r="G68" s="1642">
        <f t="shared" si="8"/>
        <v>0</v>
      </c>
      <c r="H68" s="1633">
        <v>1.6</v>
      </c>
      <c r="I68" s="1633">
        <v>0.8</v>
      </c>
      <c r="J68" s="1644">
        <v>0.12</v>
      </c>
      <c r="K68" s="1641">
        <f t="shared" si="6"/>
        <v>0</v>
      </c>
      <c r="L68" s="1641">
        <f t="shared" si="7"/>
        <v>0</v>
      </c>
      <c r="M68" s="1646">
        <f t="shared" si="9"/>
        <v>0</v>
      </c>
      <c r="N68" s="1644">
        <v>1</v>
      </c>
      <c r="O68" s="1645">
        <f t="shared" si="10"/>
        <v>0</v>
      </c>
      <c r="P68" s="1645" t="s">
        <v>601</v>
      </c>
      <c r="Q68" s="1606"/>
      <c r="R68" s="1606"/>
      <c r="S68" s="1640"/>
      <c r="T68" s="1597"/>
    </row>
    <row r="69" spans="1:20" ht="13.5">
      <c r="A69" s="1632" t="s">
        <v>803</v>
      </c>
      <c r="B69" s="1632" t="s">
        <v>1097</v>
      </c>
      <c r="C69" s="1654"/>
      <c r="D69" s="1654"/>
      <c r="E69" s="1675">
        <f t="shared" si="0"/>
        <v>0</v>
      </c>
      <c r="F69" s="1641">
        <v>1</v>
      </c>
      <c r="G69" s="1642">
        <f t="shared" si="8"/>
        <v>0</v>
      </c>
      <c r="H69" s="1633">
        <v>1.3</v>
      </c>
      <c r="I69" s="1643">
        <v>0.9</v>
      </c>
      <c r="J69" s="1644">
        <v>1</v>
      </c>
      <c r="K69" s="1641">
        <f t="shared" si="6"/>
        <v>0</v>
      </c>
      <c r="L69" s="1641">
        <f t="shared" si="7"/>
        <v>0</v>
      </c>
      <c r="M69" s="1646">
        <f t="shared" si="9"/>
        <v>0</v>
      </c>
      <c r="N69" s="1644">
        <v>1</v>
      </c>
      <c r="O69" s="1645">
        <f t="shared" si="10"/>
        <v>0</v>
      </c>
      <c r="P69" s="1645">
        <v>35</v>
      </c>
      <c r="Q69" s="1606"/>
      <c r="R69" s="1606"/>
      <c r="S69" s="1640"/>
      <c r="T69" s="1597"/>
    </row>
    <row r="70" spans="1:20" ht="13.5">
      <c r="A70" s="1632" t="s">
        <v>804</v>
      </c>
      <c r="B70" s="1632" t="s">
        <v>597</v>
      </c>
      <c r="C70" s="1654"/>
      <c r="D70" s="1654"/>
      <c r="E70" s="1675">
        <f t="shared" si="0"/>
        <v>0</v>
      </c>
      <c r="F70" s="1641">
        <v>1.4</v>
      </c>
      <c r="G70" s="1642">
        <f t="shared" si="8"/>
        <v>0</v>
      </c>
      <c r="H70" s="1633">
        <v>0.95</v>
      </c>
      <c r="I70" s="1633">
        <v>1.1</v>
      </c>
      <c r="J70" s="1644">
        <v>0.15</v>
      </c>
      <c r="K70" s="1641">
        <f t="shared" si="6"/>
        <v>0</v>
      </c>
      <c r="L70" s="1641">
        <f t="shared" si="7"/>
        <v>0</v>
      </c>
      <c r="M70" s="1646">
        <f t="shared" si="9"/>
        <v>0</v>
      </c>
      <c r="N70" s="1644">
        <v>1</v>
      </c>
      <c r="O70" s="1645">
        <f t="shared" si="10"/>
        <v>0</v>
      </c>
      <c r="P70" s="1645" t="s">
        <v>600</v>
      </c>
      <c r="Q70" s="1606"/>
      <c r="R70" s="1606"/>
      <c r="S70" s="1640"/>
      <c r="T70" s="1597"/>
    </row>
    <row r="71" spans="1:20" ht="13.5">
      <c r="A71" s="1632"/>
      <c r="B71" s="1632" t="s">
        <v>598</v>
      </c>
      <c r="C71" s="1654"/>
      <c r="D71" s="1654"/>
      <c r="E71" s="1675">
        <f t="shared" si="0"/>
        <v>0</v>
      </c>
      <c r="F71" s="1641">
        <v>1.4</v>
      </c>
      <c r="G71" s="1642">
        <f t="shared" si="8"/>
        <v>0</v>
      </c>
      <c r="H71" s="1633">
        <v>0.95</v>
      </c>
      <c r="I71" s="1633">
        <v>1.1</v>
      </c>
      <c r="J71" s="1644">
        <v>0.3</v>
      </c>
      <c r="K71" s="1641">
        <f t="shared" si="6"/>
        <v>0</v>
      </c>
      <c r="L71" s="1641">
        <f t="shared" si="7"/>
        <v>0</v>
      </c>
      <c r="M71" s="1646">
        <f t="shared" si="9"/>
        <v>0</v>
      </c>
      <c r="N71" s="1644">
        <v>1</v>
      </c>
      <c r="O71" s="1645">
        <f t="shared" si="10"/>
        <v>0</v>
      </c>
      <c r="P71" s="1645" t="s">
        <v>600</v>
      </c>
      <c r="Q71" s="1606"/>
      <c r="R71" s="1606"/>
      <c r="S71" s="1640"/>
      <c r="T71" s="1597"/>
    </row>
    <row r="72" spans="1:20" ht="13.5">
      <c r="A72" s="1632"/>
      <c r="B72" s="1632"/>
      <c r="C72" s="1654"/>
      <c r="D72" s="1654"/>
      <c r="E72" s="1675">
        <f t="shared" si="0"/>
        <v>0</v>
      </c>
      <c r="F72" s="1641"/>
      <c r="G72" s="1642"/>
      <c r="H72" s="1633"/>
      <c r="I72" s="1653"/>
      <c r="J72" s="1644"/>
      <c r="K72" s="1641"/>
      <c r="L72" s="1641"/>
      <c r="M72" s="1646"/>
      <c r="N72" s="1644"/>
      <c r="O72" s="1645">
        <f t="shared" si="10"/>
        <v>0</v>
      </c>
      <c r="P72" s="1645"/>
      <c r="Q72" s="1606"/>
      <c r="R72" s="1606"/>
      <c r="S72" s="1640"/>
      <c r="T72" s="1597"/>
    </row>
    <row r="73" spans="1:20" ht="13.5">
      <c r="A73" s="1632" t="s">
        <v>806</v>
      </c>
      <c r="B73" s="1632"/>
      <c r="C73" s="1654"/>
      <c r="D73" s="1654"/>
      <c r="E73" s="1675">
        <f t="shared" si="0"/>
        <v>0</v>
      </c>
      <c r="F73" s="1641">
        <v>1</v>
      </c>
      <c r="G73" s="1642">
        <f aca="true" t="shared" si="11" ref="G73:G84">IF(F73=0,0,E73/F73)</f>
        <v>0</v>
      </c>
      <c r="H73" s="1633">
        <v>1.5</v>
      </c>
      <c r="I73" s="1633">
        <v>0.45</v>
      </c>
      <c r="J73" s="1644">
        <v>0</v>
      </c>
      <c r="K73" s="1641">
        <f aca="true" t="shared" si="12" ref="K73:K84">0.01*E73*F73*I73</f>
        <v>0</v>
      </c>
      <c r="L73" s="1641">
        <f aca="true" t="shared" si="13" ref="L73:L84">0.01*E73*F73*H73</f>
        <v>0</v>
      </c>
      <c r="M73" s="1646">
        <f aca="true" t="shared" si="14" ref="M73:M84">J73*G73</f>
        <v>0</v>
      </c>
      <c r="N73" s="1644">
        <v>0.9</v>
      </c>
      <c r="O73" s="1645">
        <f t="shared" si="10"/>
        <v>0</v>
      </c>
      <c r="P73" s="1645">
        <v>10</v>
      </c>
      <c r="Q73" s="1606"/>
      <c r="R73" s="1606"/>
      <c r="S73" s="1640"/>
      <c r="T73" s="1597"/>
    </row>
    <row r="74" spans="1:20" ht="13.5">
      <c r="A74" s="1632" t="s">
        <v>807</v>
      </c>
      <c r="B74" s="1632"/>
      <c r="C74" s="1654"/>
      <c r="D74" s="1654"/>
      <c r="E74" s="1675">
        <f t="shared" si="0"/>
        <v>0</v>
      </c>
      <c r="F74" s="1641">
        <v>1</v>
      </c>
      <c r="G74" s="1642">
        <f t="shared" si="11"/>
        <v>0</v>
      </c>
      <c r="H74" s="1633">
        <v>2.3</v>
      </c>
      <c r="I74" s="1633">
        <v>0.55</v>
      </c>
      <c r="J74" s="1644">
        <v>0.4</v>
      </c>
      <c r="K74" s="1641">
        <f t="shared" si="12"/>
        <v>0</v>
      </c>
      <c r="L74" s="1641">
        <f t="shared" si="13"/>
        <v>0</v>
      </c>
      <c r="M74" s="1646">
        <f t="shared" si="14"/>
        <v>0</v>
      </c>
      <c r="N74" s="1644">
        <v>1.25</v>
      </c>
      <c r="O74" s="1645">
        <f t="shared" si="10"/>
        <v>0</v>
      </c>
      <c r="P74" s="1645" t="s">
        <v>600</v>
      </c>
      <c r="Q74" s="1606"/>
      <c r="R74" s="1606"/>
      <c r="S74" s="1640"/>
      <c r="T74" s="1597"/>
    </row>
    <row r="75" spans="1:20" ht="13.5">
      <c r="A75" s="1689" t="s">
        <v>342</v>
      </c>
      <c r="B75" s="1632"/>
      <c r="C75" s="1654"/>
      <c r="D75" s="1654"/>
      <c r="E75" s="1675">
        <f t="shared" si="0"/>
        <v>0</v>
      </c>
      <c r="F75" s="1641">
        <v>1</v>
      </c>
      <c r="G75" s="1642">
        <f t="shared" si="11"/>
        <v>0</v>
      </c>
      <c r="H75" s="1633">
        <v>1.5</v>
      </c>
      <c r="I75" s="1633">
        <v>0.45</v>
      </c>
      <c r="J75" s="1644">
        <v>0</v>
      </c>
      <c r="K75" s="1641">
        <f t="shared" si="12"/>
        <v>0</v>
      </c>
      <c r="L75" s="1641">
        <f t="shared" si="13"/>
        <v>0</v>
      </c>
      <c r="M75" s="1646">
        <f t="shared" si="14"/>
        <v>0</v>
      </c>
      <c r="N75" s="1644">
        <v>1</v>
      </c>
      <c r="O75" s="1645">
        <f t="shared" si="10"/>
        <v>0</v>
      </c>
      <c r="P75" s="1645">
        <v>25</v>
      </c>
      <c r="Q75" s="1606"/>
      <c r="R75" s="1606"/>
      <c r="S75" s="1640"/>
      <c r="T75" s="1597"/>
    </row>
    <row r="76" spans="1:20" ht="13.5">
      <c r="A76" s="1632" t="s">
        <v>809</v>
      </c>
      <c r="B76" s="1632"/>
      <c r="C76" s="1654"/>
      <c r="D76" s="1654"/>
      <c r="E76" s="1675">
        <f t="shared" si="0"/>
        <v>0</v>
      </c>
      <c r="F76" s="1641">
        <v>1.25</v>
      </c>
      <c r="G76" s="1642">
        <f t="shared" si="11"/>
        <v>0</v>
      </c>
      <c r="H76" s="1643">
        <v>2</v>
      </c>
      <c r="I76" s="1633"/>
      <c r="J76" s="1644">
        <v>0</v>
      </c>
      <c r="K76" s="1641">
        <f t="shared" si="12"/>
        <v>0</v>
      </c>
      <c r="L76" s="1641">
        <f t="shared" si="13"/>
        <v>0</v>
      </c>
      <c r="M76" s="1646">
        <f t="shared" si="14"/>
        <v>0</v>
      </c>
      <c r="N76" s="1644">
        <v>1</v>
      </c>
      <c r="O76" s="1645">
        <f t="shared" si="10"/>
        <v>0</v>
      </c>
      <c r="P76" s="1645"/>
      <c r="Q76" s="1606"/>
      <c r="R76" s="1606"/>
      <c r="S76" s="1640"/>
      <c r="T76" s="1597"/>
    </row>
    <row r="77" spans="1:20" ht="13.5">
      <c r="A77" s="1632" t="s">
        <v>810</v>
      </c>
      <c r="B77" s="1632"/>
      <c r="C77" s="1654"/>
      <c r="D77" s="1654"/>
      <c r="E77" s="1675">
        <f t="shared" si="0"/>
        <v>0</v>
      </c>
      <c r="F77" s="1641">
        <v>1</v>
      </c>
      <c r="G77" s="1642">
        <f t="shared" si="11"/>
        <v>0</v>
      </c>
      <c r="H77" s="1633">
        <v>1</v>
      </c>
      <c r="I77" s="1633">
        <v>0.5</v>
      </c>
      <c r="J77" s="1644">
        <v>0</v>
      </c>
      <c r="K77" s="1641">
        <f t="shared" si="12"/>
        <v>0</v>
      </c>
      <c r="L77" s="1641">
        <f t="shared" si="13"/>
        <v>0</v>
      </c>
      <c r="M77" s="1646">
        <f t="shared" si="14"/>
        <v>0</v>
      </c>
      <c r="N77" s="1644">
        <v>0.875</v>
      </c>
      <c r="O77" s="1645">
        <f t="shared" si="10"/>
        <v>0</v>
      </c>
      <c r="P77" s="1645" t="s">
        <v>609</v>
      </c>
      <c r="Q77" s="1606"/>
      <c r="R77" s="1606"/>
      <c r="S77" s="1640"/>
      <c r="T77" s="1597"/>
    </row>
    <row r="78" spans="1:20" ht="13.5">
      <c r="A78" s="1632" t="s">
        <v>811</v>
      </c>
      <c r="B78" s="1632"/>
      <c r="C78" s="1654"/>
      <c r="D78" s="1654"/>
      <c r="E78" s="1675">
        <f t="shared" si="0"/>
        <v>0</v>
      </c>
      <c r="F78" s="1641">
        <v>1</v>
      </c>
      <c r="G78" s="1642">
        <f t="shared" si="11"/>
        <v>0</v>
      </c>
      <c r="H78" s="1633">
        <v>1.3</v>
      </c>
      <c r="I78" s="1643">
        <v>0.75</v>
      </c>
      <c r="J78" s="1644">
        <v>0.15</v>
      </c>
      <c r="K78" s="1641">
        <f t="shared" si="12"/>
        <v>0</v>
      </c>
      <c r="L78" s="1641">
        <f t="shared" si="13"/>
        <v>0</v>
      </c>
      <c r="M78" s="1646">
        <f t="shared" si="14"/>
        <v>0</v>
      </c>
      <c r="N78" s="1644">
        <v>1</v>
      </c>
      <c r="O78" s="1645">
        <f t="shared" si="10"/>
        <v>0</v>
      </c>
      <c r="P78" s="1645"/>
      <c r="Q78" s="1606"/>
      <c r="R78" s="1606"/>
      <c r="S78" s="1640"/>
      <c r="T78" s="1597"/>
    </row>
    <row r="79" spans="1:20" ht="13.5">
      <c r="A79" s="1632" t="s">
        <v>812</v>
      </c>
      <c r="B79" s="1632"/>
      <c r="C79" s="1654"/>
      <c r="D79" s="1654"/>
      <c r="E79" s="1675">
        <f t="shared" si="0"/>
        <v>0</v>
      </c>
      <c r="F79" s="1641">
        <v>1.4</v>
      </c>
      <c r="G79" s="1642">
        <f t="shared" si="11"/>
        <v>0</v>
      </c>
      <c r="H79" s="1633">
        <v>0.2</v>
      </c>
      <c r="I79" s="1643">
        <v>0.25</v>
      </c>
      <c r="J79" s="1644">
        <v>0</v>
      </c>
      <c r="K79" s="1641">
        <f t="shared" si="12"/>
        <v>0</v>
      </c>
      <c r="L79" s="1641">
        <f t="shared" si="13"/>
        <v>0</v>
      </c>
      <c r="M79" s="1646">
        <f t="shared" si="14"/>
        <v>0</v>
      </c>
      <c r="N79" s="1644">
        <v>0.4</v>
      </c>
      <c r="O79" s="1645">
        <f t="shared" si="10"/>
        <v>0</v>
      </c>
      <c r="P79" s="1645"/>
      <c r="Q79" s="1606"/>
      <c r="R79" s="1606"/>
      <c r="S79" s="1640"/>
      <c r="T79" s="1597"/>
    </row>
    <row r="80" spans="1:20" ht="13.5">
      <c r="A80" s="1648" t="s">
        <v>813</v>
      </c>
      <c r="B80" s="1648"/>
      <c r="C80" s="1654"/>
      <c r="D80" s="1654"/>
      <c r="E80" s="1675">
        <f t="shared" si="0"/>
        <v>0</v>
      </c>
      <c r="F80" s="1644">
        <v>1</v>
      </c>
      <c r="G80" s="1642">
        <f t="shared" si="11"/>
        <v>0</v>
      </c>
      <c r="H80" s="1649">
        <v>2.2</v>
      </c>
      <c r="I80" s="1649">
        <v>0.55</v>
      </c>
      <c r="J80" s="1644">
        <v>0.4</v>
      </c>
      <c r="K80" s="1644">
        <f t="shared" si="12"/>
        <v>0</v>
      </c>
      <c r="L80" s="1641">
        <f t="shared" si="13"/>
        <v>0</v>
      </c>
      <c r="M80" s="1655">
        <f t="shared" si="14"/>
        <v>0</v>
      </c>
      <c r="N80" s="1644">
        <v>1.25</v>
      </c>
      <c r="O80" s="1656">
        <f t="shared" si="10"/>
        <v>0</v>
      </c>
      <c r="P80" s="1656">
        <v>40</v>
      </c>
      <c r="Q80" s="1606"/>
      <c r="R80" s="1606"/>
      <c r="S80" s="1640"/>
      <c r="T80" s="1597"/>
    </row>
    <row r="81" spans="1:20" ht="13.5">
      <c r="A81" s="1648" t="s">
        <v>610</v>
      </c>
      <c r="B81" s="1644"/>
      <c r="C81" s="1654"/>
      <c r="D81" s="1654"/>
      <c r="E81" s="1675">
        <f t="shared" si="0"/>
        <v>0</v>
      </c>
      <c r="F81" s="1644"/>
      <c r="G81" s="1642">
        <f t="shared" si="11"/>
        <v>0</v>
      </c>
      <c r="H81" s="1649"/>
      <c r="I81" s="1649"/>
      <c r="J81" s="1649"/>
      <c r="K81" s="1644">
        <f t="shared" si="12"/>
        <v>0</v>
      </c>
      <c r="L81" s="1641">
        <f t="shared" si="13"/>
        <v>0</v>
      </c>
      <c r="M81" s="1655">
        <f t="shared" si="14"/>
        <v>0</v>
      </c>
      <c r="N81" s="1644"/>
      <c r="O81" s="1656">
        <f t="shared" si="10"/>
        <v>0</v>
      </c>
      <c r="P81" s="1644"/>
      <c r="Q81" s="1606"/>
      <c r="R81" s="1606"/>
      <c r="S81" s="1640"/>
      <c r="T81" s="1597"/>
    </row>
    <row r="82" spans="1:20" ht="13.5">
      <c r="A82" s="1648" t="s">
        <v>611</v>
      </c>
      <c r="B82" s="1644"/>
      <c r="C82" s="1654"/>
      <c r="D82" s="1654"/>
      <c r="E82" s="1675">
        <f t="shared" si="0"/>
        <v>0</v>
      </c>
      <c r="F82" s="1644"/>
      <c r="G82" s="1642">
        <f t="shared" si="11"/>
        <v>0</v>
      </c>
      <c r="H82" s="1649"/>
      <c r="I82" s="1649"/>
      <c r="J82" s="1649"/>
      <c r="K82" s="1644">
        <f t="shared" si="12"/>
        <v>0</v>
      </c>
      <c r="L82" s="1641">
        <f t="shared" si="13"/>
        <v>0</v>
      </c>
      <c r="M82" s="1655">
        <f t="shared" si="14"/>
        <v>0</v>
      </c>
      <c r="N82" s="1644"/>
      <c r="O82" s="1656">
        <f t="shared" si="10"/>
        <v>0</v>
      </c>
      <c r="P82" s="1644"/>
      <c r="Q82" s="1606"/>
      <c r="R82" s="1606"/>
      <c r="S82" s="1640"/>
      <c r="T82" s="1597"/>
    </row>
    <row r="83" spans="1:20" ht="13.5">
      <c r="A83" s="1648" t="s">
        <v>612</v>
      </c>
      <c r="B83" s="1644"/>
      <c r="C83" s="1654"/>
      <c r="D83" s="1654"/>
      <c r="E83" s="1675">
        <f t="shared" si="0"/>
        <v>0</v>
      </c>
      <c r="F83" s="1644"/>
      <c r="G83" s="1642">
        <f t="shared" si="11"/>
        <v>0</v>
      </c>
      <c r="H83" s="1649"/>
      <c r="I83" s="1649"/>
      <c r="J83" s="1649"/>
      <c r="K83" s="1644">
        <f t="shared" si="12"/>
        <v>0</v>
      </c>
      <c r="L83" s="1641">
        <f t="shared" si="13"/>
        <v>0</v>
      </c>
      <c r="M83" s="1655">
        <f t="shared" si="14"/>
        <v>0</v>
      </c>
      <c r="N83" s="1644"/>
      <c r="O83" s="1656">
        <f t="shared" si="10"/>
        <v>0</v>
      </c>
      <c r="P83" s="1644"/>
      <c r="Q83" s="1606"/>
      <c r="R83" s="1606"/>
      <c r="S83" s="1640"/>
      <c r="T83" s="1597"/>
    </row>
    <row r="84" spans="1:20" ht="13.5">
      <c r="A84" s="1648" t="s">
        <v>613</v>
      </c>
      <c r="B84" s="1649"/>
      <c r="C84" s="1654"/>
      <c r="D84" s="1654"/>
      <c r="E84" s="1675">
        <f t="shared" si="0"/>
        <v>0</v>
      </c>
      <c r="F84" s="1649"/>
      <c r="G84" s="1642">
        <f t="shared" si="11"/>
        <v>0</v>
      </c>
      <c r="H84" s="1657"/>
      <c r="I84" s="1657"/>
      <c r="J84" s="1657"/>
      <c r="K84" s="1644">
        <f t="shared" si="12"/>
        <v>0</v>
      </c>
      <c r="L84" s="1641">
        <f t="shared" si="13"/>
        <v>0</v>
      </c>
      <c r="M84" s="1655">
        <f t="shared" si="14"/>
        <v>0</v>
      </c>
      <c r="N84" s="1649"/>
      <c r="O84" s="1656">
        <f t="shared" si="10"/>
        <v>0</v>
      </c>
      <c r="P84" s="1649"/>
      <c r="Q84" s="1606"/>
      <c r="R84" s="1606"/>
      <c r="S84" s="1640"/>
      <c r="T84" s="1597"/>
    </row>
    <row r="85" spans="1:20" ht="11.25" customHeight="1">
      <c r="A85" s="1603"/>
      <c r="B85" s="1603"/>
      <c r="C85" s="1603"/>
      <c r="D85" s="1603"/>
      <c r="E85" s="1603"/>
      <c r="F85" s="3110" t="s">
        <v>1149</v>
      </c>
      <c r="G85" s="3111"/>
      <c r="H85" s="3111"/>
      <c r="I85" s="3111"/>
      <c r="J85" s="3111"/>
      <c r="K85" s="3111"/>
      <c r="L85" s="3111"/>
      <c r="M85" s="3111"/>
      <c r="N85" s="3111"/>
      <c r="O85" s="3111"/>
      <c r="P85" s="3112"/>
      <c r="Q85" s="1606"/>
      <c r="R85" s="1606"/>
      <c r="S85" s="1640"/>
      <c r="T85" s="1597"/>
    </row>
    <row r="86" spans="1:20" ht="12.75" customHeight="1">
      <c r="A86" s="3101" t="s">
        <v>553</v>
      </c>
      <c r="B86" s="3102"/>
      <c r="C86" s="3102"/>
      <c r="D86" s="3102"/>
      <c r="E86" s="3102"/>
      <c r="F86" s="3102"/>
      <c r="G86" s="3102"/>
      <c r="H86" s="3102"/>
      <c r="I86" s="3102"/>
      <c r="J86" s="3102"/>
      <c r="K86" s="3102"/>
      <c r="L86" s="3102"/>
      <c r="M86" s="3102"/>
      <c r="N86" s="3102"/>
      <c r="O86" s="3102"/>
      <c r="P86" s="3102"/>
      <c r="Q86" s="3102"/>
      <c r="R86" s="3102"/>
      <c r="S86" s="1606"/>
      <c r="T86" s="1597"/>
    </row>
    <row r="87" spans="1:20" ht="18" customHeight="1">
      <c r="A87" s="3118" t="s">
        <v>622</v>
      </c>
      <c r="B87" s="3119"/>
      <c r="C87" s="3119"/>
      <c r="D87" s="3119"/>
      <c r="E87" s="3119"/>
      <c r="F87" s="1606"/>
      <c r="G87" s="1606"/>
      <c r="H87" s="1606"/>
      <c r="I87" s="1603"/>
      <c r="J87" s="1603"/>
      <c r="K87" s="1609"/>
      <c r="L87" s="1609"/>
      <c r="M87" s="1609"/>
      <c r="N87" s="1609"/>
      <c r="O87" s="1609"/>
      <c r="P87" s="1609"/>
      <c r="Q87" s="1609"/>
      <c r="R87" s="1603"/>
      <c r="S87" s="1606"/>
      <c r="T87" s="1597"/>
    </row>
    <row r="88" spans="1:20" ht="13.5">
      <c r="A88" s="1658"/>
      <c r="B88" s="1658"/>
      <c r="C88" s="1658"/>
      <c r="D88" s="1658"/>
      <c r="F88" s="1660"/>
      <c r="G88" s="1660"/>
      <c r="H88" s="1660"/>
      <c r="I88" s="1660"/>
      <c r="J88" s="1660"/>
      <c r="K88" s="1660"/>
      <c r="L88" s="1660"/>
      <c r="M88" s="1660"/>
      <c r="N88" s="1660"/>
      <c r="O88" s="1660"/>
      <c r="P88" s="1661"/>
      <c r="Q88" s="1604"/>
      <c r="R88" s="1660"/>
      <c r="S88" s="1662"/>
      <c r="T88" s="1597"/>
    </row>
    <row r="89" spans="1:20" s="2269" customFormat="1" ht="14.25" customHeight="1">
      <c r="A89" s="1658"/>
      <c r="B89" s="1658"/>
      <c r="C89" s="1658"/>
      <c r="D89" s="1658"/>
      <c r="E89" s="1658"/>
      <c r="F89" s="1660"/>
      <c r="G89" s="1660"/>
      <c r="H89" s="1662"/>
      <c r="I89" s="1662"/>
      <c r="J89" s="1662"/>
      <c r="K89" s="1660"/>
      <c r="L89" s="1660"/>
      <c r="M89" s="1660"/>
      <c r="N89" s="1660"/>
      <c r="O89" s="1660"/>
      <c r="P89" s="1660"/>
      <c r="Q89" s="1662"/>
      <c r="R89" s="1660"/>
      <c r="S89" s="1662"/>
      <c r="T89" s="1597"/>
    </row>
    <row r="90" spans="1:20" s="2269" customFormat="1" ht="14.25" customHeight="1">
      <c r="A90" s="1658"/>
      <c r="B90" s="1658"/>
      <c r="C90" s="1658"/>
      <c r="D90" s="1658"/>
      <c r="E90" s="1658"/>
      <c r="F90" s="1660"/>
      <c r="G90" s="1660"/>
      <c r="H90" s="1662"/>
      <c r="I90" s="1662"/>
      <c r="J90" s="1662"/>
      <c r="K90" s="1660"/>
      <c r="L90" s="1660"/>
      <c r="M90" s="1660"/>
      <c r="N90" s="1660"/>
      <c r="O90" s="1660"/>
      <c r="P90" s="1660"/>
      <c r="Q90" s="1662"/>
      <c r="R90" s="1660"/>
      <c r="S90" s="1662"/>
      <c r="T90" s="1597"/>
    </row>
    <row r="91" spans="1:20" s="2269" customFormat="1" ht="14.25" customHeight="1">
      <c r="A91" s="1658"/>
      <c r="B91" s="1658"/>
      <c r="C91" s="1658"/>
      <c r="D91" s="1658"/>
      <c r="E91" s="1658"/>
      <c r="F91" s="1660"/>
      <c r="G91" s="1660"/>
      <c r="H91" s="1662"/>
      <c r="I91" s="1662"/>
      <c r="J91" s="1662"/>
      <c r="K91" s="1660"/>
      <c r="L91" s="1660"/>
      <c r="M91" s="1660"/>
      <c r="N91" s="1660"/>
      <c r="O91" s="1660"/>
      <c r="P91" s="1660"/>
      <c r="Q91" s="1662"/>
      <c r="R91" s="1660"/>
      <c r="S91" s="1662"/>
      <c r="T91" s="1597"/>
    </row>
    <row r="92" spans="1:20" s="2269" customFormat="1" ht="14.25" customHeight="1">
      <c r="A92" s="1658"/>
      <c r="B92" s="1660"/>
      <c r="C92" s="1660"/>
      <c r="D92" s="1660"/>
      <c r="E92" s="1660"/>
      <c r="F92" s="1660"/>
      <c r="G92" s="1660"/>
      <c r="H92" s="1660"/>
      <c r="I92" s="1660"/>
      <c r="J92" s="1660"/>
      <c r="K92" s="1660"/>
      <c r="L92" s="1660"/>
      <c r="M92" s="1660"/>
      <c r="N92" s="1660"/>
      <c r="O92" s="1660"/>
      <c r="P92" s="1661"/>
      <c r="Q92" s="1662"/>
      <c r="R92" s="1664"/>
      <c r="S92" s="1664"/>
      <c r="T92" s="1597"/>
    </row>
    <row r="93" spans="1:20" s="2269" customFormat="1" ht="14.25" customHeight="1">
      <c r="A93" s="1660"/>
      <c r="B93" s="1660"/>
      <c r="C93" s="1660"/>
      <c r="D93" s="1660"/>
      <c r="E93" s="1660"/>
      <c r="F93" s="1660"/>
      <c r="G93" s="1660"/>
      <c r="H93" s="1660"/>
      <c r="I93" s="1660"/>
      <c r="J93" s="1660"/>
      <c r="K93" s="1660"/>
      <c r="L93" s="1660"/>
      <c r="M93" s="1660"/>
      <c r="N93" s="1660"/>
      <c r="O93" s="1660"/>
      <c r="P93" s="1660"/>
      <c r="Q93" s="1662"/>
      <c r="R93" s="1664"/>
      <c r="S93" s="1664"/>
      <c r="T93" s="1597"/>
    </row>
    <row r="94" spans="1:20" s="2269" customFormat="1" ht="14.25" customHeight="1">
      <c r="A94" s="1660"/>
      <c r="B94" s="1660"/>
      <c r="C94" s="1660"/>
      <c r="D94" s="1660"/>
      <c r="E94" s="1660"/>
      <c r="F94" s="1660"/>
      <c r="G94" s="1660"/>
      <c r="H94" s="1660"/>
      <c r="I94" s="1660"/>
      <c r="J94" s="1660"/>
      <c r="K94" s="1660"/>
      <c r="L94" s="1660"/>
      <c r="M94" s="1660"/>
      <c r="N94" s="1660"/>
      <c r="O94" s="1660"/>
      <c r="P94" s="1660"/>
      <c r="Q94" s="1662"/>
      <c r="R94" s="1664"/>
      <c r="S94" s="1664"/>
      <c r="T94" s="1597"/>
    </row>
    <row r="95" spans="1:20" s="2269" customFormat="1" ht="14.25" customHeight="1">
      <c r="A95" s="1660"/>
      <c r="B95" s="1660"/>
      <c r="C95" s="1660"/>
      <c r="D95" s="1660"/>
      <c r="E95" s="1660"/>
      <c r="F95" s="1660"/>
      <c r="G95" s="1660"/>
      <c r="H95" s="1660"/>
      <c r="I95" s="1660"/>
      <c r="J95" s="1660"/>
      <c r="K95" s="1660"/>
      <c r="L95" s="1660"/>
      <c r="M95" s="1660"/>
      <c r="N95" s="1660"/>
      <c r="O95" s="1660"/>
      <c r="P95" s="1660"/>
      <c r="Q95" s="1662"/>
      <c r="R95" s="1664"/>
      <c r="S95" s="1664"/>
      <c r="T95" s="1597"/>
    </row>
    <row r="96" spans="1:20" s="2269" customFormat="1" ht="14.25" customHeight="1">
      <c r="A96" s="1660"/>
      <c r="B96" s="1660"/>
      <c r="C96" s="1660"/>
      <c r="D96" s="1660"/>
      <c r="E96" s="1660"/>
      <c r="F96" s="1660"/>
      <c r="G96" s="1660"/>
      <c r="H96" s="1660"/>
      <c r="I96" s="1660"/>
      <c r="J96" s="1660"/>
      <c r="K96" s="1660"/>
      <c r="L96" s="1660"/>
      <c r="M96" s="1660"/>
      <c r="N96" s="1660"/>
      <c r="O96" s="1660"/>
      <c r="P96" s="1660"/>
      <c r="Q96" s="1662"/>
      <c r="R96" s="1664"/>
      <c r="S96" s="1664"/>
      <c r="T96" s="1597"/>
    </row>
    <row r="97" spans="1:20" s="2269" customFormat="1" ht="14.25" customHeight="1">
      <c r="A97" s="1660"/>
      <c r="B97" s="1660"/>
      <c r="C97" s="1660"/>
      <c r="D97" s="1660"/>
      <c r="E97" s="1660"/>
      <c r="F97" s="1660"/>
      <c r="G97" s="1660"/>
      <c r="H97" s="1660"/>
      <c r="I97" s="1660"/>
      <c r="J97" s="1660"/>
      <c r="K97" s="1660"/>
      <c r="L97" s="1660"/>
      <c r="M97" s="1660"/>
      <c r="N97" s="1660"/>
      <c r="O97" s="1660"/>
      <c r="P97" s="1660"/>
      <c r="Q97" s="1662"/>
      <c r="R97" s="1664"/>
      <c r="S97" s="1664"/>
      <c r="T97" s="1597"/>
    </row>
    <row r="98" spans="1:20" s="2269" customFormat="1" ht="13.5">
      <c r="A98" s="1665"/>
      <c r="B98" s="1665"/>
      <c r="C98" s="1665"/>
      <c r="D98" s="1665"/>
      <c r="E98" s="1665"/>
      <c r="F98" s="1665"/>
      <c r="G98" s="1665"/>
      <c r="H98" s="1666"/>
      <c r="I98" s="1666"/>
      <c r="J98" s="1666"/>
      <c r="K98" s="1665"/>
      <c r="L98" s="1665"/>
      <c r="M98" s="1665"/>
      <c r="N98" s="1665"/>
      <c r="O98" s="1665"/>
      <c r="P98" s="1665"/>
      <c r="Q98" s="1664"/>
      <c r="R98" s="1664"/>
      <c r="S98" s="1664"/>
      <c r="T98" s="1597"/>
    </row>
    <row r="99" spans="1:20" s="2269" customFormat="1" ht="13.5">
      <c r="A99" s="1658"/>
      <c r="B99" s="1658"/>
      <c r="C99" s="1658"/>
      <c r="D99" s="1658"/>
      <c r="E99" s="1658"/>
      <c r="F99" s="1658"/>
      <c r="G99" s="1658"/>
      <c r="H99" s="1664"/>
      <c r="I99" s="1664"/>
      <c r="J99" s="1664"/>
      <c r="K99" s="1658"/>
      <c r="L99" s="1658"/>
      <c r="M99" s="1658"/>
      <c r="N99" s="1658"/>
      <c r="O99" s="1658"/>
      <c r="P99" s="1658"/>
      <c r="Q99" s="1664"/>
      <c r="R99" s="1664"/>
      <c r="S99" s="1664"/>
      <c r="T99" s="1597"/>
    </row>
    <row r="100" spans="1:20" s="2269" customFormat="1" ht="13.5">
      <c r="A100" s="1658"/>
      <c r="B100" s="1658"/>
      <c r="C100" s="1658"/>
      <c r="D100" s="1658"/>
      <c r="E100" s="1658"/>
      <c r="F100" s="1658"/>
      <c r="G100" s="1658"/>
      <c r="H100" s="1664"/>
      <c r="I100" s="1664"/>
      <c r="J100" s="1664"/>
      <c r="K100" s="1658"/>
      <c r="L100" s="1658"/>
      <c r="M100" s="1658"/>
      <c r="N100" s="1658"/>
      <c r="O100" s="1658"/>
      <c r="P100" s="1658"/>
      <c r="Q100" s="1664"/>
      <c r="R100" s="1664"/>
      <c r="S100" s="1664"/>
      <c r="T100" s="1597"/>
    </row>
    <row r="101" spans="1:20" s="2269" customFormat="1" ht="13.5">
      <c r="A101" s="1658"/>
      <c r="B101" s="1658"/>
      <c r="C101" s="1658"/>
      <c r="D101" s="1658"/>
      <c r="E101" s="1658"/>
      <c r="F101" s="1658"/>
      <c r="G101" s="1658"/>
      <c r="H101" s="1664"/>
      <c r="I101" s="1664"/>
      <c r="J101" s="1664"/>
      <c r="K101" s="1658"/>
      <c r="L101" s="1658"/>
      <c r="M101" s="1658"/>
      <c r="N101" s="1658"/>
      <c r="O101" s="1658"/>
      <c r="P101" s="1658"/>
      <c r="Q101" s="1664"/>
      <c r="R101" s="1664"/>
      <c r="S101" s="1664"/>
      <c r="T101" s="1597"/>
    </row>
    <row r="102" spans="1:20" s="2269" customFormat="1" ht="13.5">
      <c r="A102" s="1658"/>
      <c r="B102" s="1658"/>
      <c r="C102" s="1658"/>
      <c r="D102" s="1658"/>
      <c r="E102" s="1658"/>
      <c r="F102" s="1658"/>
      <c r="G102" s="1658"/>
      <c r="H102" s="1664"/>
      <c r="I102" s="1664"/>
      <c r="J102" s="1664"/>
      <c r="K102" s="1658"/>
      <c r="L102" s="1658"/>
      <c r="M102" s="1658"/>
      <c r="N102" s="1658"/>
      <c r="O102" s="1658"/>
      <c r="P102" s="1658"/>
      <c r="Q102" s="1664"/>
      <c r="R102" s="1664"/>
      <c r="S102" s="1664"/>
      <c r="T102" s="1597"/>
    </row>
    <row r="103" spans="1:20" s="2269" customFormat="1" ht="13.5">
      <c r="A103" s="1658"/>
      <c r="B103" s="1658"/>
      <c r="C103" s="1658"/>
      <c r="D103" s="1658"/>
      <c r="E103" s="1658"/>
      <c r="F103" s="1658"/>
      <c r="G103" s="1658"/>
      <c r="H103" s="1664"/>
      <c r="I103" s="1664"/>
      <c r="J103" s="1664"/>
      <c r="K103" s="1658"/>
      <c r="L103" s="1658"/>
      <c r="M103" s="1658"/>
      <c r="N103" s="1658"/>
      <c r="O103" s="1658"/>
      <c r="P103" s="1658"/>
      <c r="Q103" s="1658"/>
      <c r="R103" s="1667"/>
      <c r="S103" s="1668" t="s">
        <v>462</v>
      </c>
      <c r="T103" s="1597"/>
    </row>
    <row r="104" spans="1:20" s="2269" customFormat="1" ht="13.5">
      <c r="A104" s="1658"/>
      <c r="B104" s="1658"/>
      <c r="C104" s="1658"/>
      <c r="D104" s="1658"/>
      <c r="E104" s="1658"/>
      <c r="F104" s="1658"/>
      <c r="G104" s="1658"/>
      <c r="H104" s="1664"/>
      <c r="I104" s="1664"/>
      <c r="J104" s="1664"/>
      <c r="K104" s="1658"/>
      <c r="L104" s="1658"/>
      <c r="M104" s="1658"/>
      <c r="N104" s="1658"/>
      <c r="O104" s="1658"/>
      <c r="P104" s="1658"/>
      <c r="Q104" s="1658"/>
      <c r="R104" s="1667" t="s">
        <v>992</v>
      </c>
      <c r="S104" s="1669" t="s">
        <v>319</v>
      </c>
      <c r="T104" s="1597"/>
    </row>
    <row r="105" spans="1:20" s="2269" customFormat="1" ht="13.5">
      <c r="A105" s="3107" t="s">
        <v>1150</v>
      </c>
      <c r="B105" s="3107"/>
      <c r="C105" s="3107"/>
      <c r="D105" s="3107"/>
      <c r="E105" s="3107"/>
      <c r="F105" s="3107"/>
      <c r="G105" s="3107"/>
      <c r="H105" s="3107"/>
      <c r="I105" s="3107"/>
      <c r="J105" s="3107"/>
      <c r="K105" s="1658"/>
      <c r="L105" s="1658"/>
      <c r="M105" s="1658"/>
      <c r="N105" s="1658"/>
      <c r="O105" s="1658"/>
      <c r="P105" s="1658"/>
      <c r="Q105" s="1658"/>
      <c r="R105" s="1596" t="s">
        <v>350</v>
      </c>
      <c r="S105" s="1670" t="s">
        <v>321</v>
      </c>
      <c r="T105" s="1597"/>
    </row>
    <row r="106" spans="1:20" ht="13.5">
      <c r="A106" s="1597"/>
      <c r="B106" s="1597"/>
      <c r="C106" s="1597"/>
      <c r="D106" s="1597"/>
      <c r="E106" s="1597"/>
      <c r="F106" s="1597"/>
      <c r="G106" s="1597"/>
      <c r="H106" s="1597"/>
      <c r="I106" s="1597"/>
      <c r="J106" s="1597"/>
      <c r="K106" s="1597"/>
      <c r="L106" s="1597"/>
      <c r="M106" s="1597"/>
      <c r="N106" s="1597"/>
      <c r="O106" s="1597"/>
      <c r="P106" s="1597"/>
      <c r="Q106" s="1597"/>
      <c r="R106" s="1597"/>
      <c r="S106" s="1597"/>
      <c r="T106" s="1597"/>
    </row>
  </sheetData>
  <sheetProtection password="FA80" sheet="1" objects="1" scenarios="1"/>
  <mergeCells count="28">
    <mergeCell ref="I1:Q1"/>
    <mergeCell ref="F14:I14"/>
    <mergeCell ref="A12:B12"/>
    <mergeCell ref="A13:B13"/>
    <mergeCell ref="J13:R13"/>
    <mergeCell ref="F12:I12"/>
    <mergeCell ref="F13:I13"/>
    <mergeCell ref="A9:B9"/>
    <mergeCell ref="A10:B10"/>
    <mergeCell ref="A6:P6"/>
    <mergeCell ref="A105:J105"/>
    <mergeCell ref="A18:B18"/>
    <mergeCell ref="A19:B19"/>
    <mergeCell ref="F85:P85"/>
    <mergeCell ref="F18:G18"/>
    <mergeCell ref="A21:B22"/>
    <mergeCell ref="C21:D21"/>
    <mergeCell ref="A87:E87"/>
    <mergeCell ref="F19:N19"/>
    <mergeCell ref="R3:R5"/>
    <mergeCell ref="A86:R86"/>
    <mergeCell ref="I17:J17"/>
    <mergeCell ref="N16:R17"/>
    <mergeCell ref="I16:J16"/>
    <mergeCell ref="A17:B17"/>
    <mergeCell ref="F17:H17"/>
    <mergeCell ref="A16:B16"/>
    <mergeCell ref="F16:H16"/>
  </mergeCells>
  <hyperlinks>
    <hyperlink ref="S104" r:id="rId1" display="www.petespintpot.co.uk"/>
    <hyperlink ref="S105" r:id="rId2" display="www.yobrew.co.uk"/>
    <hyperlink ref="A21:B22" location="Jam!B105" display="Please read the &quot;Disclaimer&quot; before using this spreadsheet."/>
    <hyperlink ref="S2" r:id="rId3" display="www.yobrew.co.uk"/>
  </hyperlinks>
  <printOptions horizontalCentered="1"/>
  <pageMargins left="0.5511811023622047" right="0.5511811023622047" top="0.3937007874015748" bottom="0.5511811023622047" header="0.31496062992125984" footer="0.5118110236220472"/>
  <pageSetup fitToHeight="1" fitToWidth="1" horizontalDpi="300" verticalDpi="300" orientation="portrait" paperSize="9" scale="5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PJL</dc:creator>
  <cp:keywords/>
  <dc:description/>
  <cp:lastModifiedBy>Pete</cp:lastModifiedBy>
  <cp:lastPrinted>2017-09-27T12:44:35Z</cp:lastPrinted>
  <dcterms:created xsi:type="dcterms:W3CDTF">2010-09-08T13:30:00Z</dcterms:created>
  <dcterms:modified xsi:type="dcterms:W3CDTF">2017-10-27T18:32:34Z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